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D:\Desktop\tmp-iwg\"/>
    </mc:Choice>
  </mc:AlternateContent>
  <xr:revisionPtr revIDLastSave="0" documentId="13_ncr:1_{1126C595-786B-4DEB-B88F-FB08CC888C30}" xr6:coauthVersionLast="47" xr6:coauthVersionMax="47" xr10:uidLastSave="{00000000-0000-0000-0000-000000000000}"/>
  <bookViews>
    <workbookView xWindow="12795" yWindow="-14760" windowWidth="21975" windowHeight="13200" tabRatio="817" xr2:uid="{00000000-000D-0000-FFFF-FFFF00000000}"/>
  </bookViews>
  <sheets>
    <sheet name="2025NewCourses" sheetId="5" r:id="rId1"/>
    <sheet name="Learning Paths" sheetId="14" r:id="rId2"/>
    <sheet name="Wastewater Short School" sheetId="7" r:id="rId3"/>
    <sheet name="Water Short School" sheetId="8" r:id="rId4"/>
    <sheet name="Exam Cram" sheetId="13" r:id="rId5"/>
  </sheets>
  <definedNames>
    <definedName name="COMaxTUsTotal">#REF!</definedName>
    <definedName name="_xlnm.Print_Area" localSheetId="0">'2025NewCourses'!$A$1:$BL$123</definedName>
    <definedName name="_xlnm.Print_Area" localSheetId="4">'Exam Cram'!$A$28:$K$43</definedName>
    <definedName name="_xlnm.Print_Area" localSheetId="1">'Learning Paths'!$A$1:$I$422</definedName>
    <definedName name="_xlnm.Print_Area" localSheetId="2">'Wastewater Short School'!$A$1:$J$42</definedName>
    <definedName name="_xlnm.Print_Area" localSheetId="3">'Water Short School'!$A$1:$K$41</definedName>
    <definedName name="_xlnm.Print_Titles" localSheetId="0">'2025NewCourses'!$A:$C,'2025NewCourses'!$2:$2</definedName>
    <definedName name="TotalHoursEar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 i="14" l="1"/>
  <c r="D323" i="14"/>
  <c r="AH12" i="14"/>
  <c r="D324" i="14"/>
  <c r="AH16" i="14"/>
  <c r="D325" i="14"/>
  <c r="AH24" i="14"/>
  <c r="D326" i="14"/>
  <c r="AH47" i="14"/>
  <c r="D327" i="14"/>
  <c r="AH48" i="14"/>
  <c r="D328" i="14"/>
  <c r="AH49" i="14"/>
  <c r="D329" i="14"/>
  <c r="AH50" i="14"/>
  <c r="D330" i="14"/>
  <c r="AH52" i="14"/>
  <c r="D331" i="14"/>
  <c r="AH63" i="14"/>
  <c r="D332" i="14"/>
  <c r="AH71" i="14"/>
  <c r="D333" i="14"/>
  <c r="AH72" i="14"/>
  <c r="D334" i="14"/>
  <c r="AH73" i="14"/>
  <c r="D335" i="14"/>
  <c r="AH74" i="14"/>
  <c r="D336" i="14"/>
  <c r="AH92" i="14"/>
  <c r="D337" i="14"/>
  <c r="D338" i="14"/>
  <c r="I321" i="14"/>
  <c r="D404" i="14"/>
  <c r="AH3" i="14"/>
  <c r="D405" i="14"/>
  <c r="AH13" i="14"/>
  <c r="D406" i="14"/>
  <c r="AH14" i="14"/>
  <c r="D407" i="14"/>
  <c r="AH15" i="14"/>
  <c r="D408" i="14"/>
  <c r="D409" i="14"/>
  <c r="A410" i="14"/>
  <c r="AH54" i="14"/>
  <c r="D410" i="14"/>
  <c r="A411" i="14"/>
  <c r="AH55" i="14"/>
  <c r="D411" i="14"/>
  <c r="A412" i="14"/>
  <c r="AH56" i="14"/>
  <c r="D412" i="14"/>
  <c r="AH18" i="14"/>
  <c r="D413" i="14"/>
  <c r="AH42" i="14"/>
  <c r="D414" i="14"/>
  <c r="AH45" i="14"/>
  <c r="D415" i="14"/>
  <c r="D416" i="14"/>
  <c r="D417" i="14"/>
  <c r="AH51" i="14"/>
  <c r="D418" i="14"/>
  <c r="D419" i="14"/>
  <c r="D420" i="14"/>
  <c r="D421" i="14"/>
  <c r="I402" i="14"/>
  <c r="D387" i="14"/>
  <c r="AH6" i="14"/>
  <c r="D388" i="14"/>
  <c r="D389" i="14"/>
  <c r="D390" i="14"/>
  <c r="A391" i="14"/>
  <c r="D391" i="14"/>
  <c r="A392" i="14"/>
  <c r="D392" i="14"/>
  <c r="D393" i="14"/>
  <c r="D394" i="14"/>
  <c r="D395" i="14"/>
  <c r="D396" i="14"/>
  <c r="D397" i="14"/>
  <c r="D398" i="14"/>
  <c r="D399" i="14"/>
  <c r="D400" i="14"/>
  <c r="I385" i="14"/>
  <c r="D374" i="14"/>
  <c r="D375" i="14"/>
  <c r="D376" i="14"/>
  <c r="D377" i="14"/>
  <c r="D378" i="14"/>
  <c r="D379" i="14"/>
  <c r="D380" i="14"/>
  <c r="D381" i="14"/>
  <c r="D382" i="14"/>
  <c r="D383" i="14"/>
  <c r="I372" i="14"/>
  <c r="D342" i="14"/>
  <c r="AH7" i="14"/>
  <c r="D343" i="14"/>
  <c r="AH10" i="14"/>
  <c r="D344" i="14"/>
  <c r="D345" i="14"/>
  <c r="D346" i="14"/>
  <c r="D347" i="14"/>
  <c r="D348" i="14"/>
  <c r="D349" i="14"/>
  <c r="D350" i="14"/>
  <c r="D351" i="14"/>
  <c r="D352" i="14"/>
  <c r="D353" i="14"/>
  <c r="AH66" i="14"/>
  <c r="D354" i="14"/>
  <c r="D355" i="14"/>
  <c r="D356" i="14"/>
  <c r="D357" i="14"/>
  <c r="D358" i="14"/>
  <c r="D359" i="14"/>
  <c r="D360" i="14"/>
  <c r="I340" i="14"/>
  <c r="G28" i="8"/>
  <c r="H28" i="8"/>
  <c r="I28" i="8"/>
  <c r="J28" i="8"/>
  <c r="K28" i="8"/>
  <c r="F28" i="8"/>
  <c r="D28" i="8"/>
  <c r="C28" i="8"/>
  <c r="B28" i="8"/>
  <c r="A188" i="14"/>
  <c r="AH39" i="14"/>
  <c r="D14" i="14"/>
  <c r="AH40" i="14"/>
  <c r="D15" i="14"/>
  <c r="AH41" i="14"/>
  <c r="D16" i="14"/>
  <c r="D17" i="14"/>
  <c r="I12" i="14"/>
  <c r="D21" i="14"/>
  <c r="D22" i="14"/>
  <c r="AH8" i="14"/>
  <c r="D23" i="14"/>
  <c r="AH19" i="14"/>
  <c r="D24" i="14"/>
  <c r="AH23" i="14"/>
  <c r="D25" i="14"/>
  <c r="D26" i="14"/>
  <c r="I19" i="14"/>
  <c r="D30" i="14"/>
  <c r="A31" i="14"/>
  <c r="AH43" i="14"/>
  <c r="D31" i="14"/>
  <c r="A32" i="14"/>
  <c r="D32" i="14"/>
  <c r="D33" i="14"/>
  <c r="D34" i="14"/>
  <c r="AH20" i="14"/>
  <c r="D35" i="14"/>
  <c r="D36" i="14"/>
  <c r="I28" i="14"/>
  <c r="D55" i="14"/>
  <c r="D56" i="14"/>
  <c r="D57" i="14"/>
  <c r="D58" i="14"/>
  <c r="D59" i="14"/>
  <c r="D60" i="14"/>
  <c r="A61" i="14"/>
  <c r="D61" i="14"/>
  <c r="D62" i="14"/>
  <c r="A63" i="14"/>
  <c r="D63" i="14"/>
  <c r="D65" i="14"/>
  <c r="D66" i="14"/>
  <c r="D64" i="14"/>
  <c r="D67" i="14"/>
  <c r="I53" i="14"/>
  <c r="D71" i="14"/>
  <c r="D72" i="14"/>
  <c r="D73" i="14"/>
  <c r="D74" i="14"/>
  <c r="D75" i="14"/>
  <c r="D76" i="14"/>
  <c r="D77" i="14"/>
  <c r="I69" i="14"/>
  <c r="D81" i="14"/>
  <c r="D82" i="14"/>
  <c r="D83" i="14"/>
  <c r="D84" i="14"/>
  <c r="D85" i="14"/>
  <c r="D86" i="14"/>
  <c r="D87" i="14"/>
  <c r="D88" i="14"/>
  <c r="D89" i="14"/>
  <c r="D90" i="14"/>
  <c r="D91" i="14"/>
  <c r="I79" i="14"/>
  <c r="D95" i="14"/>
  <c r="D96" i="14"/>
  <c r="D97" i="14"/>
  <c r="D98" i="14"/>
  <c r="D99" i="14"/>
  <c r="D100" i="14"/>
  <c r="D101" i="14"/>
  <c r="D102" i="14"/>
  <c r="AH27" i="14"/>
  <c r="D103" i="14"/>
  <c r="A104" i="14"/>
  <c r="D104" i="14"/>
  <c r="A105" i="14"/>
  <c r="D105" i="14"/>
  <c r="A106" i="14"/>
  <c r="D106" i="14"/>
  <c r="D107" i="14"/>
  <c r="D108" i="14"/>
  <c r="A109" i="14"/>
  <c r="AH35" i="14"/>
  <c r="D109" i="14"/>
  <c r="D110" i="14"/>
  <c r="D111" i="14"/>
  <c r="I93" i="14"/>
  <c r="D115" i="14"/>
  <c r="D116" i="14"/>
  <c r="D117" i="14"/>
  <c r="D118" i="14"/>
  <c r="D119" i="14"/>
  <c r="D120" i="14"/>
  <c r="D121" i="14"/>
  <c r="D122" i="14"/>
  <c r="D123" i="14"/>
  <c r="D124" i="14"/>
  <c r="D125" i="14"/>
  <c r="A126" i="14"/>
  <c r="D126" i="14"/>
  <c r="D127" i="14"/>
  <c r="D128" i="14"/>
  <c r="D129" i="14"/>
  <c r="D130" i="14"/>
  <c r="D131" i="14"/>
  <c r="D132" i="14"/>
  <c r="D133" i="14"/>
  <c r="I113" i="14"/>
  <c r="D137" i="14"/>
  <c r="AH5" i="14"/>
  <c r="D138" i="14"/>
  <c r="D139" i="14"/>
  <c r="D140" i="14"/>
  <c r="AH22" i="14"/>
  <c r="D141" i="14"/>
  <c r="AH59" i="14"/>
  <c r="D142" i="14"/>
  <c r="AH60" i="14"/>
  <c r="D143" i="14"/>
  <c r="AH61" i="14"/>
  <c r="D144" i="14"/>
  <c r="D145" i="14"/>
  <c r="D146" i="14"/>
  <c r="D147" i="14"/>
  <c r="D148" i="14"/>
  <c r="I135" i="14"/>
  <c r="D152" i="14"/>
  <c r="D153" i="14"/>
  <c r="D154" i="14"/>
  <c r="D155" i="14"/>
  <c r="D156" i="14"/>
  <c r="D157" i="14"/>
  <c r="D158" i="14"/>
  <c r="D159" i="14"/>
  <c r="I150" i="14"/>
  <c r="D163" i="14"/>
  <c r="D164" i="14"/>
  <c r="D165" i="14"/>
  <c r="A166" i="14"/>
  <c r="D166" i="14"/>
  <c r="D167" i="14"/>
  <c r="D168" i="14"/>
  <c r="D169" i="14"/>
  <c r="D170" i="14"/>
  <c r="AH82" i="14"/>
  <c r="D171" i="14"/>
  <c r="D172" i="14"/>
  <c r="AH93" i="14"/>
  <c r="D173" i="14"/>
  <c r="D174" i="14"/>
  <c r="I161" i="14"/>
  <c r="AH67" i="14"/>
  <c r="D188" i="14"/>
  <c r="D178" i="14"/>
  <c r="D179" i="14"/>
  <c r="AH77" i="14"/>
  <c r="D180" i="14"/>
  <c r="AH78" i="14"/>
  <c r="D181" i="14"/>
  <c r="AH79" i="14"/>
  <c r="D182" i="14"/>
  <c r="D183" i="14"/>
  <c r="AH85" i="14"/>
  <c r="D184" i="14"/>
  <c r="AH86" i="14"/>
  <c r="D185" i="14"/>
  <c r="AH87" i="14"/>
  <c r="D186" i="14"/>
  <c r="D187" i="14"/>
  <c r="D189" i="14"/>
  <c r="I176" i="14"/>
  <c r="D193" i="14"/>
  <c r="D194" i="14"/>
  <c r="D195" i="14"/>
  <c r="D196" i="14"/>
  <c r="D197" i="14"/>
  <c r="D198" i="14"/>
  <c r="D199" i="14"/>
  <c r="D200" i="14"/>
  <c r="D201" i="14"/>
  <c r="D202" i="14"/>
  <c r="AH88" i="14"/>
  <c r="D203" i="14"/>
  <c r="AH91" i="14"/>
  <c r="D204" i="14"/>
  <c r="D205" i="14"/>
  <c r="D206" i="14"/>
  <c r="D207" i="14"/>
  <c r="I191" i="14"/>
  <c r="D211" i="14"/>
  <c r="AH62" i="14"/>
  <c r="D212" i="14"/>
  <c r="D213" i="14"/>
  <c r="D214" i="14"/>
  <c r="D215" i="14"/>
  <c r="D216" i="14"/>
  <c r="D217" i="14"/>
  <c r="D218" i="14"/>
  <c r="D219" i="14"/>
  <c r="D220" i="14"/>
  <c r="I209" i="14"/>
  <c r="AH84" i="14"/>
  <c r="D224" i="14"/>
  <c r="D225" i="14"/>
  <c r="D226" i="14"/>
  <c r="D227" i="14"/>
  <c r="A228" i="14"/>
  <c r="D228" i="14"/>
  <c r="D229" i="14"/>
  <c r="D230" i="14"/>
  <c r="I222" i="14"/>
  <c r="D234" i="14"/>
  <c r="D235" i="14"/>
  <c r="D236" i="14"/>
  <c r="D237" i="14"/>
  <c r="D238" i="14"/>
  <c r="D239" i="14"/>
  <c r="D240" i="14"/>
  <c r="I232" i="14"/>
  <c r="D244" i="14"/>
  <c r="D245" i="14"/>
  <c r="D246" i="14"/>
  <c r="D247" i="14"/>
  <c r="D248" i="14"/>
  <c r="D249" i="14"/>
  <c r="D250" i="14"/>
  <c r="D251" i="14"/>
  <c r="D252" i="14"/>
  <c r="D253" i="14"/>
  <c r="D254" i="14"/>
  <c r="D255" i="14"/>
  <c r="I242" i="14"/>
  <c r="D259" i="14"/>
  <c r="D260" i="14"/>
  <c r="D261" i="14"/>
  <c r="D262" i="14"/>
  <c r="D263" i="14"/>
  <c r="D264" i="14"/>
  <c r="D265" i="14"/>
  <c r="D266" i="14"/>
  <c r="D267" i="14"/>
  <c r="D268" i="14"/>
  <c r="D269" i="14"/>
  <c r="D270" i="14"/>
  <c r="D271" i="14"/>
  <c r="D272" i="14"/>
  <c r="D273" i="14"/>
  <c r="I257" i="14"/>
  <c r="D277" i="14"/>
  <c r="D278" i="14"/>
  <c r="D279" i="14"/>
  <c r="D280" i="14"/>
  <c r="D281" i="14"/>
  <c r="D282" i="14"/>
  <c r="D283" i="14"/>
  <c r="D284" i="14"/>
  <c r="D285" i="14"/>
  <c r="D286" i="14"/>
  <c r="AH17" i="14"/>
  <c r="D287" i="14"/>
  <c r="D288" i="14"/>
  <c r="D289" i="14"/>
  <c r="D290" i="14"/>
  <c r="D291" i="14"/>
  <c r="D292" i="14"/>
  <c r="D293" i="14"/>
  <c r="D294" i="14"/>
  <c r="I275" i="14"/>
  <c r="D298" i="14"/>
  <c r="D299" i="14"/>
  <c r="D300" i="14"/>
  <c r="D301" i="14"/>
  <c r="D302" i="14"/>
  <c r="D303" i="14"/>
  <c r="D304" i="14"/>
  <c r="D305" i="14"/>
  <c r="I296" i="14"/>
  <c r="D309" i="14"/>
  <c r="D310" i="14"/>
  <c r="D311" i="14"/>
  <c r="D312" i="14"/>
  <c r="D313" i="14"/>
  <c r="D314" i="14"/>
  <c r="D315" i="14"/>
  <c r="D316" i="14"/>
  <c r="D317" i="14"/>
  <c r="D318" i="14"/>
  <c r="D319" i="14"/>
  <c r="I307" i="14"/>
  <c r="D364" i="14"/>
  <c r="D365" i="14"/>
  <c r="D366" i="14"/>
  <c r="D367" i="14"/>
  <c r="D368" i="14"/>
  <c r="D369" i="14"/>
  <c r="D370" i="14"/>
  <c r="I362" i="14"/>
  <c r="AH32" i="14"/>
  <c r="D3" i="14"/>
  <c r="AH33" i="14"/>
  <c r="D4" i="14"/>
  <c r="AH34" i="14"/>
  <c r="D5" i="14"/>
  <c r="D6" i="14"/>
  <c r="AH36" i="14"/>
  <c r="D7" i="14"/>
  <c r="AH37" i="14"/>
  <c r="D8" i="14"/>
  <c r="AH38" i="14"/>
  <c r="D9" i="14"/>
  <c r="D10" i="14"/>
  <c r="I1" i="14"/>
  <c r="D40" i="14"/>
  <c r="D41" i="14"/>
  <c r="AH21" i="14"/>
  <c r="D42" i="14"/>
  <c r="D43" i="14"/>
  <c r="D44" i="14"/>
  <c r="D45" i="14"/>
  <c r="AH25" i="14"/>
  <c r="D46" i="14"/>
  <c r="AH26" i="14"/>
  <c r="D47" i="14"/>
  <c r="D48" i="14"/>
  <c r="AH28" i="14"/>
  <c r="D49" i="14"/>
  <c r="AH29" i="14"/>
  <c r="D50" i="14"/>
  <c r="D51" i="14"/>
  <c r="I38" i="14"/>
  <c r="AE31" i="14"/>
  <c r="B165" i="14"/>
  <c r="AG60" i="14"/>
  <c r="C165" i="14"/>
  <c r="AI60" i="14"/>
  <c r="E165" i="14"/>
  <c r="AJ60" i="14"/>
  <c r="F165" i="14"/>
  <c r="AK60" i="14"/>
  <c r="G165" i="14"/>
  <c r="AL60" i="14"/>
  <c r="H165" i="14"/>
  <c r="AM60" i="14"/>
  <c r="I165" i="14"/>
  <c r="B109" i="14"/>
  <c r="AG51" i="14"/>
  <c r="AG35" i="14"/>
  <c r="C109" i="14"/>
  <c r="AI51" i="14"/>
  <c r="AI35" i="14"/>
  <c r="E109" i="14"/>
  <c r="AJ51" i="14"/>
  <c r="AJ35" i="14"/>
  <c r="F109" i="14"/>
  <c r="AK51" i="14"/>
  <c r="AK35" i="14"/>
  <c r="G109" i="14"/>
  <c r="AL51" i="14"/>
  <c r="AL35" i="14"/>
  <c r="H109" i="14"/>
  <c r="AM51" i="14"/>
  <c r="AM35" i="14"/>
  <c r="I109" i="14"/>
  <c r="AF55" i="14"/>
  <c r="B105" i="14"/>
  <c r="AG55" i="14"/>
  <c r="C105" i="14"/>
  <c r="AI55" i="14"/>
  <c r="E105" i="14"/>
  <c r="AJ55" i="14"/>
  <c r="F105" i="14"/>
  <c r="AK55" i="14"/>
  <c r="G105" i="14"/>
  <c r="AL55" i="14"/>
  <c r="H105" i="14"/>
  <c r="AM55" i="14"/>
  <c r="I105" i="14"/>
  <c r="AF56" i="14"/>
  <c r="B106" i="14"/>
  <c r="AG56" i="14"/>
  <c r="C106" i="14"/>
  <c r="AI56" i="14"/>
  <c r="E106" i="14"/>
  <c r="AJ56" i="14"/>
  <c r="F106" i="14"/>
  <c r="AK56" i="14"/>
  <c r="G106" i="14"/>
  <c r="AL56" i="14"/>
  <c r="H106" i="14"/>
  <c r="AM56" i="14"/>
  <c r="I106" i="14"/>
  <c r="B61" i="14"/>
  <c r="AG49" i="14"/>
  <c r="C61" i="14"/>
  <c r="AI49" i="14"/>
  <c r="E61" i="14"/>
  <c r="AJ49" i="14"/>
  <c r="F61" i="14"/>
  <c r="AK49" i="14"/>
  <c r="G61" i="14"/>
  <c r="AL49" i="14"/>
  <c r="H61" i="14"/>
  <c r="AM49" i="14"/>
  <c r="I61" i="14"/>
  <c r="AF54" i="14"/>
  <c r="B63" i="14"/>
  <c r="A64" i="14"/>
  <c r="B64" i="14"/>
  <c r="AG38" i="14"/>
  <c r="AI38" i="14"/>
  <c r="AJ38" i="14"/>
  <c r="AK38" i="14"/>
  <c r="AL38" i="14"/>
  <c r="AM38" i="14"/>
  <c r="B32" i="14"/>
  <c r="AG45" i="14"/>
  <c r="C32" i="14"/>
  <c r="AI45" i="14"/>
  <c r="E32" i="14"/>
  <c r="AJ45" i="14"/>
  <c r="F32" i="14"/>
  <c r="AK45" i="14"/>
  <c r="G32" i="14"/>
  <c r="AL45" i="14"/>
  <c r="H32" i="14"/>
  <c r="AM45" i="14"/>
  <c r="I32" i="14"/>
  <c r="AI3" i="14"/>
  <c r="AJ3" i="14"/>
  <c r="AK3" i="14"/>
  <c r="AL3" i="14"/>
  <c r="AM3" i="14"/>
  <c r="AH4" i="14"/>
  <c r="AI4" i="14"/>
  <c r="AJ4" i="14"/>
  <c r="AK4" i="14"/>
  <c r="AL4" i="14"/>
  <c r="AM4" i="14"/>
  <c r="AI5" i="14"/>
  <c r="AJ5" i="14"/>
  <c r="AK5" i="14"/>
  <c r="AL5" i="14"/>
  <c r="AM5" i="14"/>
  <c r="AI6" i="14"/>
  <c r="AJ6" i="14"/>
  <c r="AK6" i="14"/>
  <c r="AL6" i="14"/>
  <c r="AM6" i="14"/>
  <c r="AI7" i="14"/>
  <c r="AJ7" i="14"/>
  <c r="AK7" i="14"/>
  <c r="AL7" i="14"/>
  <c r="AM7" i="14"/>
  <c r="AI8" i="14"/>
  <c r="AJ8" i="14"/>
  <c r="AK8" i="14"/>
  <c r="AL8" i="14"/>
  <c r="AM8" i="14"/>
  <c r="AH9" i="14"/>
  <c r="AI9" i="14"/>
  <c r="AJ9" i="14"/>
  <c r="AK9" i="14"/>
  <c r="AL9" i="14"/>
  <c r="AM9" i="14"/>
  <c r="AI10" i="14"/>
  <c r="AJ10" i="14"/>
  <c r="AK10" i="14"/>
  <c r="AL10" i="14"/>
  <c r="AM10" i="14"/>
  <c r="AH11" i="14"/>
  <c r="AI11" i="14"/>
  <c r="AJ11" i="14"/>
  <c r="AK11" i="14"/>
  <c r="AL11" i="14"/>
  <c r="AM11" i="14"/>
  <c r="AI12" i="14"/>
  <c r="AJ12" i="14"/>
  <c r="AK12" i="14"/>
  <c r="AL12" i="14"/>
  <c r="AM12" i="14"/>
  <c r="AI13" i="14"/>
  <c r="AJ13" i="14"/>
  <c r="AK13" i="14"/>
  <c r="AL13" i="14"/>
  <c r="AM13" i="14"/>
  <c r="AI14" i="14"/>
  <c r="AJ14" i="14"/>
  <c r="AK14" i="14"/>
  <c r="AL14" i="14"/>
  <c r="AM14" i="14"/>
  <c r="AI15" i="14"/>
  <c r="AJ15" i="14"/>
  <c r="AK15" i="14"/>
  <c r="AL15" i="14"/>
  <c r="AM15" i="14"/>
  <c r="AI16" i="14"/>
  <c r="AJ16" i="14"/>
  <c r="AK16" i="14"/>
  <c r="AL16" i="14"/>
  <c r="AM16" i="14"/>
  <c r="AI17" i="14"/>
  <c r="AJ17" i="14"/>
  <c r="AK17" i="14"/>
  <c r="AL17" i="14"/>
  <c r="AM17" i="14"/>
  <c r="AI18" i="14"/>
  <c r="AJ18" i="14"/>
  <c r="AK18" i="14"/>
  <c r="AL18" i="14"/>
  <c r="AM18" i="14"/>
  <c r="AI19" i="14"/>
  <c r="AJ19" i="14"/>
  <c r="AK19" i="14"/>
  <c r="AL19" i="14"/>
  <c r="AM19" i="14"/>
  <c r="AI20" i="14"/>
  <c r="AJ20" i="14"/>
  <c r="AK20" i="14"/>
  <c r="AL20" i="14"/>
  <c r="AM20" i="14"/>
  <c r="AI21" i="14"/>
  <c r="AJ21" i="14"/>
  <c r="AK21" i="14"/>
  <c r="AL21" i="14"/>
  <c r="AM21" i="14"/>
  <c r="AI22" i="14"/>
  <c r="AJ22" i="14"/>
  <c r="AK22" i="14"/>
  <c r="AL22" i="14"/>
  <c r="AM22" i="14"/>
  <c r="AI23" i="14"/>
  <c r="AJ23" i="14"/>
  <c r="AK23" i="14"/>
  <c r="AL23" i="14"/>
  <c r="AM23" i="14"/>
  <c r="AI24" i="14"/>
  <c r="AJ24" i="14"/>
  <c r="AK24" i="14"/>
  <c r="AL24" i="14"/>
  <c r="AM24" i="14"/>
  <c r="AI25" i="14"/>
  <c r="AJ25" i="14"/>
  <c r="AK25" i="14"/>
  <c r="AL25" i="14"/>
  <c r="AM25" i="14"/>
  <c r="AI26" i="14"/>
  <c r="AJ26" i="14"/>
  <c r="AK26" i="14"/>
  <c r="AL26" i="14"/>
  <c r="AM26" i="14"/>
  <c r="AI27" i="14"/>
  <c r="AJ27" i="14"/>
  <c r="AK27" i="14"/>
  <c r="AL27" i="14"/>
  <c r="AM27" i="14"/>
  <c r="AI28" i="14"/>
  <c r="AJ28" i="14"/>
  <c r="AK28" i="14"/>
  <c r="AL28" i="14"/>
  <c r="AM28" i="14"/>
  <c r="AI29" i="14"/>
  <c r="AJ29" i="14"/>
  <c r="AK29" i="14"/>
  <c r="AL29" i="14"/>
  <c r="AM29" i="14"/>
  <c r="AH30" i="14"/>
  <c r="AI30" i="14"/>
  <c r="AJ30" i="14"/>
  <c r="AK30" i="14"/>
  <c r="AL30" i="14"/>
  <c r="AM30" i="14"/>
  <c r="AH31" i="14"/>
  <c r="AI31" i="14"/>
  <c r="AJ31" i="14"/>
  <c r="AK31" i="14"/>
  <c r="AL31" i="14"/>
  <c r="AM31" i="14"/>
  <c r="AI32" i="14"/>
  <c r="AJ32" i="14"/>
  <c r="AK32" i="14"/>
  <c r="AL32" i="14"/>
  <c r="AM32" i="14"/>
  <c r="AI33" i="14"/>
  <c r="AJ33" i="14"/>
  <c r="AK33" i="14"/>
  <c r="AL33" i="14"/>
  <c r="AM33" i="14"/>
  <c r="AI34" i="14"/>
  <c r="AJ34" i="14"/>
  <c r="AK34" i="14"/>
  <c r="AL34" i="14"/>
  <c r="AM34" i="14"/>
  <c r="AI36" i="14"/>
  <c r="AJ36" i="14"/>
  <c r="AK36" i="14"/>
  <c r="AL36" i="14"/>
  <c r="AM36" i="14"/>
  <c r="AI37" i="14"/>
  <c r="AJ37" i="14"/>
  <c r="AK37" i="14"/>
  <c r="AL37" i="14"/>
  <c r="AM37" i="14"/>
  <c r="AI39" i="14"/>
  <c r="AJ39" i="14"/>
  <c r="AK39" i="14"/>
  <c r="AL39" i="14"/>
  <c r="AM39" i="14"/>
  <c r="AI40" i="14"/>
  <c r="AJ40" i="14"/>
  <c r="AK40" i="14"/>
  <c r="AL40" i="14"/>
  <c r="AM40" i="14"/>
  <c r="AI41" i="14"/>
  <c r="AJ41" i="14"/>
  <c r="AK41" i="14"/>
  <c r="AL41" i="14"/>
  <c r="AM41" i="14"/>
  <c r="AI42" i="14"/>
  <c r="AJ42" i="14"/>
  <c r="AK42" i="14"/>
  <c r="AL42" i="14"/>
  <c r="AM42" i="14"/>
  <c r="AI43" i="14"/>
  <c r="AJ43" i="14"/>
  <c r="AK43" i="14"/>
  <c r="AL43" i="14"/>
  <c r="AM43" i="14"/>
  <c r="AH44" i="14"/>
  <c r="AI44" i="14"/>
  <c r="AJ44" i="14"/>
  <c r="AK44" i="14"/>
  <c r="AL44" i="14"/>
  <c r="AM44" i="14"/>
  <c r="AH46" i="14"/>
  <c r="AI46" i="14"/>
  <c r="AJ46" i="14"/>
  <c r="AK46" i="14"/>
  <c r="AL46" i="14"/>
  <c r="AM46" i="14"/>
  <c r="AI47" i="14"/>
  <c r="AJ47" i="14"/>
  <c r="AK47" i="14"/>
  <c r="AL47" i="14"/>
  <c r="AM47" i="14"/>
  <c r="AI48" i="14"/>
  <c r="AJ48" i="14"/>
  <c r="AK48" i="14"/>
  <c r="AL48" i="14"/>
  <c r="AM48" i="14"/>
  <c r="AI50" i="14"/>
  <c r="AJ50" i="14"/>
  <c r="AK50" i="14"/>
  <c r="AL50" i="14"/>
  <c r="AM50" i="14"/>
  <c r="AI52" i="14"/>
  <c r="AJ52" i="14"/>
  <c r="AK52" i="14"/>
  <c r="AL52" i="14"/>
  <c r="AM52" i="14"/>
  <c r="AH53" i="14"/>
  <c r="AI53" i="14"/>
  <c r="AJ53" i="14"/>
  <c r="AK53" i="14"/>
  <c r="AL53" i="14"/>
  <c r="AM53" i="14"/>
  <c r="AI54" i="14"/>
  <c r="AJ54" i="14"/>
  <c r="AK54" i="14"/>
  <c r="AL54" i="14"/>
  <c r="AM54" i="14"/>
  <c r="AH57" i="14"/>
  <c r="AI57" i="14"/>
  <c r="AJ57" i="14"/>
  <c r="AK57" i="14"/>
  <c r="AL57" i="14"/>
  <c r="AM57" i="14"/>
  <c r="AH58" i="14"/>
  <c r="AI58" i="14"/>
  <c r="AJ58" i="14"/>
  <c r="AK58" i="14"/>
  <c r="AL58" i="14"/>
  <c r="AM58" i="14"/>
  <c r="AI59" i="14"/>
  <c r="AJ59" i="14"/>
  <c r="AK59" i="14"/>
  <c r="AL59" i="14"/>
  <c r="AM59" i="14"/>
  <c r="AI61" i="14"/>
  <c r="AJ61" i="14"/>
  <c r="AK61" i="14"/>
  <c r="AL61" i="14"/>
  <c r="AM61" i="14"/>
  <c r="AI62" i="14"/>
  <c r="AJ62" i="14"/>
  <c r="AK62" i="14"/>
  <c r="AL62" i="14"/>
  <c r="AM62" i="14"/>
  <c r="AI63" i="14"/>
  <c r="AJ63" i="14"/>
  <c r="AK63" i="14"/>
  <c r="AL63" i="14"/>
  <c r="AM63" i="14"/>
  <c r="AH65" i="14"/>
  <c r="AI65" i="14"/>
  <c r="AJ65" i="14"/>
  <c r="AK65" i="14"/>
  <c r="AL65" i="14"/>
  <c r="AM65" i="14"/>
  <c r="AI66" i="14"/>
  <c r="AJ66" i="14"/>
  <c r="AK66" i="14"/>
  <c r="AL66" i="14"/>
  <c r="AM66" i="14"/>
  <c r="AI67" i="14"/>
  <c r="AJ67" i="14"/>
  <c r="AK67" i="14"/>
  <c r="AL67" i="14"/>
  <c r="AM67" i="14"/>
  <c r="AH68" i="14"/>
  <c r="AI68" i="14"/>
  <c r="AJ68" i="14"/>
  <c r="AK68" i="14"/>
  <c r="AL68" i="14"/>
  <c r="AM68" i="14"/>
  <c r="AH69" i="14"/>
  <c r="AI69" i="14"/>
  <c r="AJ69" i="14"/>
  <c r="AK69" i="14"/>
  <c r="AL69" i="14"/>
  <c r="AM69" i="14"/>
  <c r="AH70" i="14"/>
  <c r="AI70" i="14"/>
  <c r="AJ70" i="14"/>
  <c r="AK70" i="14"/>
  <c r="AL70" i="14"/>
  <c r="AM70" i="14"/>
  <c r="AI71" i="14"/>
  <c r="AJ71" i="14"/>
  <c r="AK71" i="14"/>
  <c r="AL71" i="14"/>
  <c r="AM71" i="14"/>
  <c r="AI72" i="14"/>
  <c r="AJ72" i="14"/>
  <c r="AK72" i="14"/>
  <c r="AL72" i="14"/>
  <c r="AM72" i="14"/>
  <c r="AI73" i="14"/>
  <c r="AJ73" i="14"/>
  <c r="AK73" i="14"/>
  <c r="AL73" i="14"/>
  <c r="AM73" i="14"/>
  <c r="AI74" i="14"/>
  <c r="AJ74" i="14"/>
  <c r="AK74" i="14"/>
  <c r="AL74" i="14"/>
  <c r="AM74" i="14"/>
  <c r="AH75" i="14"/>
  <c r="AI75" i="14"/>
  <c r="AJ75" i="14"/>
  <c r="AK75" i="14"/>
  <c r="AL75" i="14"/>
  <c r="AM75" i="14"/>
  <c r="AH76" i="14"/>
  <c r="AI76" i="14"/>
  <c r="AJ76" i="14"/>
  <c r="AK76" i="14"/>
  <c r="AL76" i="14"/>
  <c r="AM76" i="14"/>
  <c r="AI77" i="14"/>
  <c r="AJ77" i="14"/>
  <c r="AK77" i="14"/>
  <c r="AL77" i="14"/>
  <c r="AM77" i="14"/>
  <c r="AI78" i="14"/>
  <c r="AJ78" i="14"/>
  <c r="AK78" i="14"/>
  <c r="AL78" i="14"/>
  <c r="AM78" i="14"/>
  <c r="AI79" i="14"/>
  <c r="AJ79" i="14"/>
  <c r="AK79" i="14"/>
  <c r="AL79" i="14"/>
  <c r="AM79" i="14"/>
  <c r="AH80" i="14"/>
  <c r="AI80" i="14"/>
  <c r="AJ80" i="14"/>
  <c r="AK80" i="14"/>
  <c r="AL80" i="14"/>
  <c r="AM80" i="14"/>
  <c r="AH81" i="14"/>
  <c r="AI81" i="14"/>
  <c r="AJ81" i="14"/>
  <c r="AK81" i="14"/>
  <c r="AL81" i="14"/>
  <c r="AM81" i="14"/>
  <c r="AI82" i="14"/>
  <c r="AJ82" i="14"/>
  <c r="AK82" i="14"/>
  <c r="AL82" i="14"/>
  <c r="AM82" i="14"/>
  <c r="AH83" i="14"/>
  <c r="AI83" i="14"/>
  <c r="AJ83" i="14"/>
  <c r="AK83" i="14"/>
  <c r="AL83" i="14"/>
  <c r="AM83" i="14"/>
  <c r="AI84" i="14"/>
  <c r="AJ84" i="14"/>
  <c r="AK84" i="14"/>
  <c r="AL84" i="14"/>
  <c r="AM84" i="14"/>
  <c r="AI85" i="14"/>
  <c r="AJ85" i="14"/>
  <c r="AK85" i="14"/>
  <c r="AL85" i="14"/>
  <c r="AM85" i="14"/>
  <c r="AI86" i="14"/>
  <c r="AJ86" i="14"/>
  <c r="AK86" i="14"/>
  <c r="AL86" i="14"/>
  <c r="AM86" i="14"/>
  <c r="AI87" i="14"/>
  <c r="AJ87" i="14"/>
  <c r="AK87" i="14"/>
  <c r="AL87" i="14"/>
  <c r="AM87" i="14"/>
  <c r="AI88" i="14"/>
  <c r="AJ88" i="14"/>
  <c r="AK88" i="14"/>
  <c r="AL88" i="14"/>
  <c r="AM88" i="14"/>
  <c r="AH89" i="14"/>
  <c r="AI89" i="14"/>
  <c r="AJ89" i="14"/>
  <c r="AK89" i="14"/>
  <c r="AL89" i="14"/>
  <c r="AM89" i="14"/>
  <c r="AH90" i="14"/>
  <c r="AI90" i="14"/>
  <c r="AJ90" i="14"/>
  <c r="AK90" i="14"/>
  <c r="AL90" i="14"/>
  <c r="AM90" i="14"/>
  <c r="AI91" i="14"/>
  <c r="AJ91" i="14"/>
  <c r="AK91" i="14"/>
  <c r="AL91" i="14"/>
  <c r="AM91" i="14"/>
  <c r="AI92" i="14"/>
  <c r="AJ92" i="14"/>
  <c r="AK92" i="14"/>
  <c r="AL92" i="14"/>
  <c r="AM92" i="14"/>
  <c r="AI93" i="14"/>
  <c r="AJ93" i="14"/>
  <c r="AK93" i="14"/>
  <c r="AL93" i="14"/>
  <c r="AM93" i="14"/>
  <c r="AI2" i="14"/>
  <c r="AJ2" i="14"/>
  <c r="AK2" i="14"/>
  <c r="AL2" i="14"/>
  <c r="AM2" i="14"/>
  <c r="E50" i="14"/>
  <c r="F50" i="14"/>
  <c r="G50" i="14"/>
  <c r="H50" i="14"/>
  <c r="I50" i="14"/>
  <c r="B228" i="14"/>
  <c r="AG88" i="14"/>
  <c r="C228" i="14"/>
  <c r="E228" i="14"/>
  <c r="F228" i="14"/>
  <c r="G228" i="14"/>
  <c r="H228" i="14"/>
  <c r="I228" i="14"/>
  <c r="B392" i="14"/>
  <c r="C392" i="14"/>
  <c r="E392" i="14"/>
  <c r="F392" i="14"/>
  <c r="G392" i="14"/>
  <c r="H392" i="14"/>
  <c r="I392" i="14"/>
  <c r="B411" i="14"/>
  <c r="C411" i="14"/>
  <c r="E411" i="14"/>
  <c r="F411" i="14"/>
  <c r="G411" i="14"/>
  <c r="H411" i="14"/>
  <c r="I411" i="14"/>
  <c r="B412" i="14"/>
  <c r="C412" i="14"/>
  <c r="E412" i="14"/>
  <c r="F412" i="14"/>
  <c r="G412" i="14"/>
  <c r="H412" i="14"/>
  <c r="I412" i="14"/>
  <c r="D29" i="8"/>
  <c r="E29" i="8"/>
  <c r="D30" i="8"/>
  <c r="E30" i="8"/>
  <c r="G4" i="8"/>
  <c r="G5" i="8"/>
  <c r="G6" i="8"/>
  <c r="G7" i="8"/>
  <c r="G8" i="8"/>
  <c r="G9" i="8"/>
  <c r="G10" i="8"/>
  <c r="G11" i="8"/>
  <c r="G12" i="8"/>
  <c r="G13" i="8"/>
  <c r="G14" i="8"/>
  <c r="G15" i="8"/>
  <c r="G16" i="8"/>
  <c r="G17" i="8"/>
  <c r="G18" i="8"/>
  <c r="G19" i="8"/>
  <c r="G20" i="8"/>
  <c r="G21" i="8"/>
  <c r="G22" i="8"/>
  <c r="G23" i="8"/>
  <c r="G24" i="8"/>
  <c r="G25" i="8"/>
  <c r="G26" i="8"/>
  <c r="G27" i="8"/>
  <c r="G29" i="8"/>
  <c r="G30" i="8"/>
  <c r="G35" i="8"/>
  <c r="H4" i="8"/>
  <c r="H5" i="8"/>
  <c r="H6" i="8"/>
  <c r="H7" i="8"/>
  <c r="H8" i="8"/>
  <c r="H9" i="8"/>
  <c r="H10" i="8"/>
  <c r="H11" i="8"/>
  <c r="H12" i="8"/>
  <c r="H13" i="8"/>
  <c r="H14" i="8"/>
  <c r="H15" i="8"/>
  <c r="H16" i="8"/>
  <c r="H17" i="8"/>
  <c r="H18" i="8"/>
  <c r="H19" i="8"/>
  <c r="H20" i="8"/>
  <c r="H21" i="8"/>
  <c r="H22" i="8"/>
  <c r="H23" i="8"/>
  <c r="H24" i="8"/>
  <c r="H25" i="8"/>
  <c r="H26" i="8"/>
  <c r="H27" i="8"/>
  <c r="H29" i="8"/>
  <c r="H30" i="8"/>
  <c r="H35" i="8"/>
  <c r="I4" i="8"/>
  <c r="I5" i="8"/>
  <c r="I6" i="8"/>
  <c r="I7" i="8"/>
  <c r="I8" i="8"/>
  <c r="I9" i="8"/>
  <c r="I10" i="8"/>
  <c r="I11" i="8"/>
  <c r="I12" i="8"/>
  <c r="I13" i="8"/>
  <c r="I14" i="8"/>
  <c r="I15" i="8"/>
  <c r="I16" i="8"/>
  <c r="I17" i="8"/>
  <c r="I18" i="8"/>
  <c r="I19" i="8"/>
  <c r="I20" i="8"/>
  <c r="I21" i="8"/>
  <c r="I22" i="8"/>
  <c r="I23" i="8"/>
  <c r="I24" i="8"/>
  <c r="I25" i="8"/>
  <c r="I26" i="8"/>
  <c r="I27" i="8"/>
  <c r="I29" i="8"/>
  <c r="I30" i="8"/>
  <c r="I35" i="8"/>
  <c r="J4" i="8"/>
  <c r="J5" i="8"/>
  <c r="J6" i="8"/>
  <c r="J7" i="8"/>
  <c r="J8" i="8"/>
  <c r="J9" i="8"/>
  <c r="J10" i="8"/>
  <c r="J11" i="8"/>
  <c r="J12" i="8"/>
  <c r="J13" i="8"/>
  <c r="J14" i="8"/>
  <c r="J15" i="8"/>
  <c r="J16" i="8"/>
  <c r="J17" i="8"/>
  <c r="J18" i="8"/>
  <c r="J19" i="8"/>
  <c r="J20" i="8"/>
  <c r="J21" i="8"/>
  <c r="J22" i="8"/>
  <c r="J23" i="8"/>
  <c r="J24" i="8"/>
  <c r="J25" i="8"/>
  <c r="J26" i="8"/>
  <c r="J27" i="8"/>
  <c r="J29" i="8"/>
  <c r="J30" i="8"/>
  <c r="J35" i="8"/>
  <c r="K4" i="8"/>
  <c r="K5" i="8"/>
  <c r="K6" i="8"/>
  <c r="K7" i="8"/>
  <c r="K8" i="8"/>
  <c r="K9" i="8"/>
  <c r="K10" i="8"/>
  <c r="K11" i="8"/>
  <c r="K12" i="8"/>
  <c r="K13" i="8"/>
  <c r="K14" i="8"/>
  <c r="K15" i="8"/>
  <c r="K16" i="8"/>
  <c r="K17" i="8"/>
  <c r="K18" i="8"/>
  <c r="K19" i="8"/>
  <c r="K20" i="8"/>
  <c r="K21" i="8"/>
  <c r="K22" i="8"/>
  <c r="K23" i="8"/>
  <c r="K24" i="8"/>
  <c r="K25" i="8"/>
  <c r="K26" i="8"/>
  <c r="K27" i="8"/>
  <c r="K29" i="8"/>
  <c r="K30" i="8"/>
  <c r="K35" i="8"/>
  <c r="F4" i="8"/>
  <c r="F5" i="8"/>
  <c r="F6" i="8"/>
  <c r="F7" i="8"/>
  <c r="F8" i="8"/>
  <c r="F9" i="8"/>
  <c r="F10" i="8"/>
  <c r="F11" i="8"/>
  <c r="F12" i="8"/>
  <c r="F13" i="8"/>
  <c r="F14" i="8"/>
  <c r="F15" i="8"/>
  <c r="F16" i="8"/>
  <c r="F17" i="8"/>
  <c r="F18" i="8"/>
  <c r="F19" i="8"/>
  <c r="F20" i="8"/>
  <c r="F21" i="8"/>
  <c r="F22" i="8"/>
  <c r="F23" i="8"/>
  <c r="F24" i="8"/>
  <c r="F25" i="8"/>
  <c r="F26" i="8"/>
  <c r="F27" i="8"/>
  <c r="F29" i="8"/>
  <c r="F30" i="8"/>
  <c r="F35" i="8"/>
  <c r="C29" i="8"/>
  <c r="C30" i="8"/>
  <c r="B29" i="8"/>
  <c r="B30" i="8"/>
  <c r="AG54" i="14"/>
  <c r="C64" i="14"/>
  <c r="E64" i="14"/>
  <c r="F64" i="14"/>
  <c r="G64" i="14"/>
  <c r="H64" i="14"/>
  <c r="I64" i="14"/>
  <c r="AG31" i="14"/>
  <c r="AF31" i="14"/>
  <c r="CH61" i="5"/>
  <c r="CH112" i="5"/>
  <c r="CH111" i="5"/>
  <c r="CH110" i="5"/>
  <c r="CH109" i="5"/>
  <c r="CH108" i="5"/>
  <c r="CH107" i="5"/>
  <c r="CH106" i="5"/>
  <c r="CH105" i="5"/>
  <c r="CH104" i="5"/>
  <c r="CH103" i="5"/>
  <c r="CH102" i="5"/>
  <c r="CH101" i="5"/>
  <c r="CH100" i="5"/>
  <c r="CH99" i="5"/>
  <c r="CH98" i="5"/>
  <c r="CH97" i="5"/>
  <c r="CH96" i="5"/>
  <c r="CH95" i="5"/>
  <c r="CH94" i="5"/>
  <c r="CH93" i="5"/>
  <c r="CH92" i="5"/>
  <c r="CH91" i="5"/>
  <c r="CH90" i="5"/>
  <c r="CH89" i="5"/>
  <c r="CH88" i="5"/>
  <c r="CH86" i="5"/>
  <c r="CH85" i="5"/>
  <c r="CH84" i="5"/>
  <c r="CH83" i="5"/>
  <c r="CH82" i="5"/>
  <c r="CH81" i="5"/>
  <c r="CH80" i="5"/>
  <c r="CH79" i="5"/>
  <c r="CH78" i="5"/>
  <c r="CH77" i="5"/>
  <c r="CH76" i="5"/>
  <c r="CH75" i="5"/>
  <c r="CH73" i="5"/>
  <c r="CH72" i="5"/>
  <c r="CH71" i="5"/>
  <c r="CH70" i="5"/>
  <c r="CH69" i="5"/>
  <c r="CH68" i="5"/>
  <c r="CH67" i="5"/>
  <c r="CH66" i="5"/>
  <c r="CH65" i="5"/>
  <c r="CH64" i="5"/>
  <c r="CH63" i="5"/>
  <c r="CH62" i="5"/>
  <c r="CH60" i="5"/>
  <c r="CH59" i="5"/>
  <c r="CH58" i="5"/>
  <c r="CH57" i="5"/>
  <c r="CH56" i="5"/>
  <c r="CH55" i="5"/>
  <c r="CH54" i="5"/>
  <c r="CH53" i="5"/>
  <c r="CH52" i="5"/>
  <c r="CH51" i="5"/>
  <c r="CH50" i="5"/>
  <c r="CH49" i="5"/>
  <c r="CH48" i="5"/>
  <c r="CH47" i="5"/>
  <c r="CH46" i="5"/>
  <c r="CH45" i="5"/>
  <c r="CH44" i="5"/>
  <c r="CH43" i="5"/>
  <c r="CH42" i="5"/>
  <c r="CH41" i="5"/>
  <c r="CH40" i="5"/>
  <c r="CH39" i="5"/>
  <c r="CH37" i="5"/>
  <c r="CH36" i="5"/>
  <c r="CH35" i="5"/>
  <c r="CH34" i="5"/>
  <c r="CH33" i="5"/>
  <c r="CH32" i="5"/>
  <c r="CH30" i="5"/>
  <c r="CH29" i="5"/>
  <c r="CH28" i="5"/>
  <c r="CH27" i="5"/>
  <c r="CH26" i="5"/>
  <c r="CH25" i="5"/>
  <c r="CH24" i="5"/>
  <c r="CH23" i="5"/>
  <c r="CH22" i="5"/>
  <c r="CH21" i="5"/>
  <c r="CH20" i="5"/>
  <c r="CH19" i="5"/>
  <c r="CH18" i="5"/>
  <c r="CH17" i="5"/>
  <c r="CH16" i="5"/>
  <c r="CH14" i="5"/>
  <c r="CH13" i="5"/>
  <c r="CH12" i="5"/>
  <c r="CH11" i="5"/>
  <c r="CH10" i="5"/>
  <c r="CH9" i="5"/>
  <c r="CH8" i="5"/>
  <c r="CH7" i="5"/>
  <c r="CH6" i="5"/>
  <c r="CH5" i="5"/>
  <c r="AT83" i="5"/>
  <c r="AT84" i="5"/>
  <c r="AT85" i="5"/>
  <c r="AG93" i="14"/>
  <c r="AG92" i="14"/>
  <c r="AG91" i="14"/>
  <c r="AG90" i="14"/>
  <c r="AG89" i="14"/>
  <c r="AG87" i="14"/>
  <c r="AG86" i="14"/>
  <c r="AG85" i="14"/>
  <c r="AG84" i="14"/>
  <c r="AG83" i="14"/>
  <c r="AG82" i="14"/>
  <c r="AG81" i="14"/>
  <c r="AG80" i="14"/>
  <c r="AG79" i="14"/>
  <c r="AG78" i="14"/>
  <c r="AG77" i="14"/>
  <c r="AG76" i="14"/>
  <c r="AG75" i="14"/>
  <c r="AG74" i="14"/>
  <c r="AG73" i="14"/>
  <c r="AG72" i="14"/>
  <c r="AG71" i="14"/>
  <c r="AG70" i="14"/>
  <c r="AG69" i="14"/>
  <c r="AG68" i="14"/>
  <c r="AG67" i="14"/>
  <c r="AG66" i="14"/>
  <c r="AG65" i="14"/>
  <c r="AG63" i="14"/>
  <c r="AG62" i="14"/>
  <c r="AG61" i="14"/>
  <c r="AG59" i="14"/>
  <c r="AG58" i="14"/>
  <c r="AG57" i="14"/>
  <c r="AG53" i="14"/>
  <c r="AG52" i="14"/>
  <c r="AG50" i="14"/>
  <c r="AG48" i="14"/>
  <c r="AG47" i="14"/>
  <c r="AG46" i="14"/>
  <c r="AG44" i="14"/>
  <c r="AG43" i="14"/>
  <c r="AG42" i="14"/>
  <c r="AG41" i="14"/>
  <c r="AG40" i="14"/>
  <c r="AG39" i="14"/>
  <c r="AG37" i="14"/>
  <c r="AG36" i="14"/>
  <c r="AG34" i="14"/>
  <c r="AG33" i="14"/>
  <c r="AG32" i="14"/>
  <c r="AG30" i="14"/>
  <c r="AG28" i="14"/>
  <c r="AG27" i="14"/>
  <c r="AG26" i="14"/>
  <c r="AG25" i="14"/>
  <c r="AG24" i="14"/>
  <c r="AG23" i="14"/>
  <c r="AG22" i="14"/>
  <c r="AG21" i="14"/>
  <c r="AG20" i="14"/>
  <c r="AG19" i="14"/>
  <c r="AG18" i="14"/>
  <c r="AG17" i="14"/>
  <c r="AG16" i="14"/>
  <c r="AG15" i="14"/>
  <c r="AG14" i="14"/>
  <c r="AG13" i="14"/>
  <c r="AG12" i="14"/>
  <c r="AG11" i="14"/>
  <c r="AG10" i="14"/>
  <c r="AG9" i="14"/>
  <c r="AG8" i="14"/>
  <c r="AG7" i="14"/>
  <c r="AG6" i="14"/>
  <c r="AG5" i="14"/>
  <c r="AG4" i="14"/>
  <c r="AG3" i="14"/>
  <c r="AG2" i="14"/>
  <c r="AG29" i="14"/>
  <c r="D5" i="8"/>
  <c r="E5" i="8"/>
  <c r="D6" i="8"/>
  <c r="E6" i="8"/>
  <c r="D7" i="8"/>
  <c r="E7" i="8"/>
  <c r="D8" i="8"/>
  <c r="E8" i="8"/>
  <c r="D9" i="8"/>
  <c r="E9" i="8"/>
  <c r="D10" i="8"/>
  <c r="E10" i="8"/>
  <c r="D11" i="8"/>
  <c r="E11" i="8"/>
  <c r="D12" i="8"/>
  <c r="E12" i="8"/>
  <c r="D13" i="8"/>
  <c r="E13" i="8"/>
  <c r="D14" i="8"/>
  <c r="E14" i="8"/>
  <c r="D15" i="8"/>
  <c r="E15" i="8"/>
  <c r="D16" i="8"/>
  <c r="E16" i="8"/>
  <c r="D17" i="8"/>
  <c r="E17" i="8"/>
  <c r="D18" i="8"/>
  <c r="E18" i="8"/>
  <c r="D19" i="8"/>
  <c r="E19" i="8"/>
  <c r="D20" i="8"/>
  <c r="E20" i="8"/>
  <c r="D21" i="8"/>
  <c r="E21" i="8"/>
  <c r="D22" i="8"/>
  <c r="E22" i="8"/>
  <c r="D23" i="8"/>
  <c r="E23" i="8"/>
  <c r="D24" i="8"/>
  <c r="E24" i="8"/>
  <c r="D25" i="8"/>
  <c r="E25" i="8"/>
  <c r="D26" i="8"/>
  <c r="E26" i="8"/>
  <c r="D27" i="8"/>
  <c r="E27" i="8"/>
  <c r="D4" i="8"/>
  <c r="E4" i="8"/>
  <c r="C4" i="8"/>
  <c r="C5" i="8"/>
  <c r="C6" i="8"/>
  <c r="C7" i="8"/>
  <c r="C8" i="8"/>
  <c r="C9" i="8"/>
  <c r="C10" i="8"/>
  <c r="C11" i="8"/>
  <c r="C12" i="8"/>
  <c r="C13" i="8"/>
  <c r="C14" i="8"/>
  <c r="C15" i="8"/>
  <c r="C16" i="8"/>
  <c r="C17" i="8"/>
  <c r="C18" i="8"/>
  <c r="C19" i="8"/>
  <c r="C20" i="8"/>
  <c r="C21" i="8"/>
  <c r="C22" i="8"/>
  <c r="C23" i="8"/>
  <c r="C24" i="8"/>
  <c r="C25" i="8"/>
  <c r="C26" i="8"/>
  <c r="C27" i="8"/>
  <c r="B9" i="7"/>
  <c r="C9" i="7"/>
  <c r="D9" i="7"/>
  <c r="E9" i="7"/>
  <c r="F9" i="7"/>
  <c r="G9" i="7"/>
  <c r="H9" i="7"/>
  <c r="H409" i="14"/>
  <c r="J9" i="7"/>
  <c r="E4" i="7"/>
  <c r="E5" i="7"/>
  <c r="E6" i="7"/>
  <c r="E7" i="7"/>
  <c r="E8" i="7"/>
  <c r="E10" i="7"/>
  <c r="E11" i="7"/>
  <c r="E12" i="7"/>
  <c r="E13" i="7"/>
  <c r="E14" i="7"/>
  <c r="E15" i="7"/>
  <c r="E16" i="7"/>
  <c r="E17" i="7"/>
  <c r="E18" i="7"/>
  <c r="E19" i="7"/>
  <c r="E20" i="7"/>
  <c r="E21" i="7"/>
  <c r="E22" i="7"/>
  <c r="E23" i="7"/>
  <c r="E24" i="7"/>
  <c r="E25" i="7"/>
  <c r="E26" i="7"/>
  <c r="E27" i="7"/>
  <c r="E28" i="7"/>
  <c r="E29" i="7"/>
  <c r="E30" i="7"/>
  <c r="E31" i="7"/>
  <c r="E36" i="7"/>
  <c r="F5" i="7"/>
  <c r="G5" i="7"/>
  <c r="H5" i="7"/>
  <c r="I5" i="7"/>
  <c r="J5" i="7"/>
  <c r="F6" i="7"/>
  <c r="G6" i="7"/>
  <c r="H6" i="7"/>
  <c r="I6" i="7"/>
  <c r="J6" i="7"/>
  <c r="F7" i="7"/>
  <c r="G7" i="7"/>
  <c r="H7" i="7"/>
  <c r="I7" i="7"/>
  <c r="J7" i="7"/>
  <c r="F8" i="7"/>
  <c r="G8" i="7"/>
  <c r="H8" i="7"/>
  <c r="I8" i="7"/>
  <c r="J8" i="7"/>
  <c r="F10" i="7"/>
  <c r="G10" i="7"/>
  <c r="H10" i="7"/>
  <c r="I10" i="7"/>
  <c r="J10" i="7"/>
  <c r="F11" i="7"/>
  <c r="G11" i="7"/>
  <c r="H11" i="7"/>
  <c r="I11" i="7"/>
  <c r="J11" i="7"/>
  <c r="F12" i="7"/>
  <c r="G12" i="7"/>
  <c r="H12" i="7"/>
  <c r="I12" i="7"/>
  <c r="J12" i="7"/>
  <c r="F13" i="7"/>
  <c r="G13" i="7"/>
  <c r="H13" i="7"/>
  <c r="I13" i="7"/>
  <c r="J13" i="7"/>
  <c r="F14" i="7"/>
  <c r="G14" i="7"/>
  <c r="H14" i="7"/>
  <c r="I14" i="7"/>
  <c r="J14" i="7"/>
  <c r="F15" i="7"/>
  <c r="G15" i="7"/>
  <c r="H15" i="7"/>
  <c r="I15" i="7"/>
  <c r="J15" i="7"/>
  <c r="F16" i="7"/>
  <c r="G16" i="7"/>
  <c r="H16" i="7"/>
  <c r="I16" i="7"/>
  <c r="J16" i="7"/>
  <c r="F17" i="7"/>
  <c r="G17" i="7"/>
  <c r="H17" i="7"/>
  <c r="I17" i="7"/>
  <c r="J17" i="7"/>
  <c r="F18" i="7"/>
  <c r="G18" i="7"/>
  <c r="H18" i="7"/>
  <c r="I18" i="7"/>
  <c r="J18" i="7"/>
  <c r="F19" i="7"/>
  <c r="G19" i="7"/>
  <c r="H19" i="7"/>
  <c r="I19" i="7"/>
  <c r="J19" i="7"/>
  <c r="F20" i="7"/>
  <c r="G20" i="7"/>
  <c r="H20" i="7"/>
  <c r="I20" i="7"/>
  <c r="J20" i="7"/>
  <c r="F21" i="7"/>
  <c r="G21" i="7"/>
  <c r="H21" i="7"/>
  <c r="I21" i="7"/>
  <c r="J21" i="7"/>
  <c r="F22" i="7"/>
  <c r="G22" i="7"/>
  <c r="H22" i="7"/>
  <c r="I22" i="7"/>
  <c r="J22" i="7"/>
  <c r="F23" i="7"/>
  <c r="G23" i="7"/>
  <c r="H23" i="7"/>
  <c r="I23" i="7"/>
  <c r="J23" i="7"/>
  <c r="F24" i="7"/>
  <c r="G24" i="7"/>
  <c r="H24" i="7"/>
  <c r="I24" i="7"/>
  <c r="J24" i="7"/>
  <c r="F25" i="7"/>
  <c r="G25" i="7"/>
  <c r="H25" i="7"/>
  <c r="I25" i="7"/>
  <c r="J25" i="7"/>
  <c r="F26" i="7"/>
  <c r="G26" i="7"/>
  <c r="H26" i="7"/>
  <c r="I26" i="7"/>
  <c r="J26" i="7"/>
  <c r="F27" i="7"/>
  <c r="G27" i="7"/>
  <c r="H27" i="7"/>
  <c r="I27" i="7"/>
  <c r="J27" i="7"/>
  <c r="F28" i="7"/>
  <c r="G28" i="7"/>
  <c r="H28" i="7"/>
  <c r="I28" i="7"/>
  <c r="J28" i="7"/>
  <c r="F29" i="7"/>
  <c r="G29" i="7"/>
  <c r="H29" i="7"/>
  <c r="I29" i="7"/>
  <c r="J29" i="7"/>
  <c r="F30" i="7"/>
  <c r="G30" i="7"/>
  <c r="H30" i="7"/>
  <c r="I30" i="7"/>
  <c r="J30" i="7"/>
  <c r="F31" i="7"/>
  <c r="G31" i="7"/>
  <c r="H31" i="7"/>
  <c r="I31" i="7"/>
  <c r="J31" i="7"/>
  <c r="F4" i="7"/>
  <c r="G4" i="7"/>
  <c r="H4" i="7"/>
  <c r="I4" i="7"/>
  <c r="J4" i="7"/>
  <c r="E37" i="7"/>
  <c r="B5" i="7"/>
  <c r="C5" i="7"/>
  <c r="D5" i="7"/>
  <c r="B6" i="7"/>
  <c r="C6" i="7"/>
  <c r="D6" i="7"/>
  <c r="B7" i="7"/>
  <c r="C7" i="7"/>
  <c r="D7" i="7"/>
  <c r="B8" i="7"/>
  <c r="C8" i="7"/>
  <c r="D8" i="7"/>
  <c r="B10" i="7"/>
  <c r="C10" i="7"/>
  <c r="D10" i="7"/>
  <c r="B11" i="7"/>
  <c r="C11" i="7"/>
  <c r="D11" i="7"/>
  <c r="B12" i="7"/>
  <c r="C12" i="7"/>
  <c r="D12" i="7"/>
  <c r="B13" i="7"/>
  <c r="C13" i="7"/>
  <c r="D13" i="7"/>
  <c r="B14" i="7"/>
  <c r="C14" i="7"/>
  <c r="D14" i="7"/>
  <c r="B15" i="7"/>
  <c r="C15" i="7"/>
  <c r="D15" i="7"/>
  <c r="B16" i="7"/>
  <c r="C16" i="7"/>
  <c r="D16" i="7"/>
  <c r="B17" i="7"/>
  <c r="C17" i="7"/>
  <c r="D17" i="7"/>
  <c r="B18" i="7"/>
  <c r="C18" i="7"/>
  <c r="D18" i="7"/>
  <c r="B19" i="7"/>
  <c r="C19" i="7"/>
  <c r="D19" i="7"/>
  <c r="B20" i="7"/>
  <c r="C20" i="7"/>
  <c r="D20" i="7"/>
  <c r="B21" i="7"/>
  <c r="C21" i="7"/>
  <c r="D21" i="7"/>
  <c r="B22" i="7"/>
  <c r="C22" i="7"/>
  <c r="D22" i="7"/>
  <c r="B23" i="7"/>
  <c r="C23" i="7"/>
  <c r="D23" i="7"/>
  <c r="B24" i="7"/>
  <c r="C24" i="7"/>
  <c r="D24" i="7"/>
  <c r="B25" i="7"/>
  <c r="C25" i="7"/>
  <c r="D25" i="7"/>
  <c r="B26" i="7"/>
  <c r="C26" i="7"/>
  <c r="D26" i="7"/>
  <c r="B27" i="7"/>
  <c r="C27" i="7"/>
  <c r="D27" i="7"/>
  <c r="B28" i="7"/>
  <c r="C28" i="7"/>
  <c r="D28" i="7"/>
  <c r="B29" i="7"/>
  <c r="C29" i="7"/>
  <c r="D29" i="7"/>
  <c r="B30" i="7"/>
  <c r="C30" i="7"/>
  <c r="D30" i="7"/>
  <c r="B31" i="7"/>
  <c r="C31" i="7"/>
  <c r="D31" i="7"/>
  <c r="C4" i="7"/>
  <c r="D4" i="7"/>
  <c r="B4" i="7"/>
  <c r="I404" i="14"/>
  <c r="I405" i="14"/>
  <c r="I406" i="14"/>
  <c r="I407" i="14"/>
  <c r="I408" i="14"/>
  <c r="I409" i="14"/>
  <c r="I391" i="14"/>
  <c r="I413" i="14"/>
  <c r="I414" i="14"/>
  <c r="I415" i="14"/>
  <c r="I416" i="14"/>
  <c r="I417" i="14"/>
  <c r="I418" i="14"/>
  <c r="I419" i="14"/>
  <c r="I420" i="14"/>
  <c r="H404" i="14"/>
  <c r="H405" i="14"/>
  <c r="H406" i="14"/>
  <c r="H407" i="14"/>
  <c r="H408" i="14"/>
  <c r="H410" i="14"/>
  <c r="H413" i="14"/>
  <c r="H414" i="14"/>
  <c r="H415" i="14"/>
  <c r="H416" i="14"/>
  <c r="H417" i="14"/>
  <c r="H418" i="14"/>
  <c r="H419" i="14"/>
  <c r="H420" i="14"/>
  <c r="H421" i="14"/>
  <c r="G404" i="14"/>
  <c r="G405" i="14"/>
  <c r="G406" i="14"/>
  <c r="G407" i="14"/>
  <c r="G408" i="14"/>
  <c r="G409" i="14"/>
  <c r="G410" i="14"/>
  <c r="G413" i="14"/>
  <c r="G414" i="14"/>
  <c r="G415" i="14"/>
  <c r="G416" i="14"/>
  <c r="G417" i="14"/>
  <c r="G418" i="14"/>
  <c r="G419" i="14"/>
  <c r="G420" i="14"/>
  <c r="F404" i="14"/>
  <c r="F405" i="14"/>
  <c r="F406" i="14"/>
  <c r="F375" i="14"/>
  <c r="F408" i="14"/>
  <c r="F409" i="14"/>
  <c r="F410" i="14"/>
  <c r="F413" i="14"/>
  <c r="F414" i="14"/>
  <c r="F415" i="14"/>
  <c r="F416" i="14"/>
  <c r="F417" i="14"/>
  <c r="F418" i="14"/>
  <c r="F419" i="14"/>
  <c r="F420" i="14"/>
  <c r="E404" i="14"/>
  <c r="E405" i="14"/>
  <c r="E389" i="14"/>
  <c r="E407" i="14"/>
  <c r="E408" i="14"/>
  <c r="E409" i="14"/>
  <c r="E410" i="14"/>
  <c r="E413" i="14"/>
  <c r="E414" i="14"/>
  <c r="E415" i="14"/>
  <c r="E416" i="14"/>
  <c r="E417" i="14"/>
  <c r="E418" i="14"/>
  <c r="E419" i="14"/>
  <c r="E420" i="14"/>
  <c r="C420" i="14"/>
  <c r="B420" i="14"/>
  <c r="C419" i="14"/>
  <c r="B419" i="14"/>
  <c r="C418" i="14"/>
  <c r="B418" i="14"/>
  <c r="C417" i="14"/>
  <c r="B417" i="14"/>
  <c r="C416" i="14"/>
  <c r="B416" i="14"/>
  <c r="C415" i="14"/>
  <c r="B415" i="14"/>
  <c r="C414" i="14"/>
  <c r="B414" i="14"/>
  <c r="C413" i="14"/>
  <c r="B413" i="14"/>
  <c r="C410" i="14"/>
  <c r="B410" i="14"/>
  <c r="C409" i="14"/>
  <c r="B409" i="14"/>
  <c r="C408" i="14"/>
  <c r="B408" i="14"/>
  <c r="C407" i="14"/>
  <c r="B407" i="14"/>
  <c r="C406" i="14"/>
  <c r="B406" i="14"/>
  <c r="C405" i="14"/>
  <c r="B405" i="14"/>
  <c r="C404" i="14"/>
  <c r="B404" i="14"/>
  <c r="I387" i="14"/>
  <c r="I388" i="14"/>
  <c r="I389" i="14"/>
  <c r="I390" i="14"/>
  <c r="I393" i="14"/>
  <c r="I394" i="14"/>
  <c r="I395" i="14"/>
  <c r="I396" i="14"/>
  <c r="I397" i="14"/>
  <c r="I398" i="14"/>
  <c r="I399" i="14"/>
  <c r="H387" i="14"/>
  <c r="H388" i="14"/>
  <c r="H389" i="14"/>
  <c r="H391" i="14"/>
  <c r="H393" i="14"/>
  <c r="H394" i="14"/>
  <c r="H395" i="14"/>
  <c r="H396" i="14"/>
  <c r="H397" i="14"/>
  <c r="H398" i="14"/>
  <c r="H399" i="14"/>
  <c r="G387" i="14"/>
  <c r="G388" i="14"/>
  <c r="G389" i="14"/>
  <c r="G390" i="14"/>
  <c r="G391" i="14"/>
  <c r="G393" i="14"/>
  <c r="G394" i="14"/>
  <c r="G395" i="14"/>
  <c r="G396" i="14"/>
  <c r="G397" i="14"/>
  <c r="G398" i="14"/>
  <c r="G399" i="14"/>
  <c r="G400" i="14"/>
  <c r="F387" i="14"/>
  <c r="F388" i="14"/>
  <c r="F389" i="14"/>
  <c r="F390" i="14"/>
  <c r="F391" i="14"/>
  <c r="F393" i="14"/>
  <c r="F394" i="14"/>
  <c r="F395" i="14"/>
  <c r="F396" i="14"/>
  <c r="F397" i="14"/>
  <c r="F398" i="14"/>
  <c r="F399" i="14"/>
  <c r="E387" i="14"/>
  <c r="E388" i="14"/>
  <c r="E390" i="14"/>
  <c r="E391" i="14"/>
  <c r="E393" i="14"/>
  <c r="E394" i="14"/>
  <c r="E395" i="14"/>
  <c r="E396" i="14"/>
  <c r="E397" i="14"/>
  <c r="E398" i="14"/>
  <c r="E399" i="14"/>
  <c r="C399" i="14"/>
  <c r="B399" i="14"/>
  <c r="C398" i="14"/>
  <c r="B398" i="14"/>
  <c r="C397" i="14"/>
  <c r="B397" i="14"/>
  <c r="C396" i="14"/>
  <c r="B396" i="14"/>
  <c r="C395" i="14"/>
  <c r="B395" i="14"/>
  <c r="C394" i="14"/>
  <c r="B394" i="14"/>
  <c r="C393" i="14"/>
  <c r="B393" i="14"/>
  <c r="C391" i="14"/>
  <c r="B391" i="14"/>
  <c r="C390" i="14"/>
  <c r="B390" i="14"/>
  <c r="C389" i="14"/>
  <c r="B389" i="14"/>
  <c r="C388" i="14"/>
  <c r="B388" i="14"/>
  <c r="C387" i="14"/>
  <c r="B387" i="14"/>
  <c r="I374" i="14"/>
  <c r="I375" i="14"/>
  <c r="I376" i="14"/>
  <c r="I377" i="14"/>
  <c r="I378" i="14"/>
  <c r="I379" i="14"/>
  <c r="I380" i="14"/>
  <c r="I381" i="14"/>
  <c r="I382" i="14"/>
  <c r="H374" i="14"/>
  <c r="H375" i="14"/>
  <c r="H376" i="14"/>
  <c r="H377" i="14"/>
  <c r="H378" i="14"/>
  <c r="H379" i="14"/>
  <c r="H380" i="14"/>
  <c r="H381" i="14"/>
  <c r="H382" i="14"/>
  <c r="G374" i="14"/>
  <c r="G375" i="14"/>
  <c r="G376" i="14"/>
  <c r="G377" i="14"/>
  <c r="G378" i="14"/>
  <c r="G379" i="14"/>
  <c r="G380" i="14"/>
  <c r="G381" i="14"/>
  <c r="G382" i="14"/>
  <c r="F374" i="14"/>
  <c r="F376" i="14"/>
  <c r="F377" i="14"/>
  <c r="F378" i="14"/>
  <c r="F379" i="14"/>
  <c r="F380" i="14"/>
  <c r="F381" i="14"/>
  <c r="F382" i="14"/>
  <c r="E374" i="14"/>
  <c r="E375" i="14"/>
  <c r="E376" i="14"/>
  <c r="E377" i="14"/>
  <c r="E378" i="14"/>
  <c r="E379" i="14"/>
  <c r="E380" i="14"/>
  <c r="E381" i="14"/>
  <c r="E382" i="14"/>
  <c r="C382" i="14"/>
  <c r="B382" i="14"/>
  <c r="C381" i="14"/>
  <c r="B381" i="14"/>
  <c r="C380" i="14"/>
  <c r="B380" i="14"/>
  <c r="C379" i="14"/>
  <c r="B379" i="14"/>
  <c r="C378" i="14"/>
  <c r="B378" i="14"/>
  <c r="C377" i="14"/>
  <c r="B377" i="14"/>
  <c r="C376" i="14"/>
  <c r="B376" i="14"/>
  <c r="C375" i="14"/>
  <c r="B375" i="14"/>
  <c r="C374" i="14"/>
  <c r="B374" i="14"/>
  <c r="I364" i="14"/>
  <c r="I365" i="14"/>
  <c r="I366" i="14"/>
  <c r="I367" i="14"/>
  <c r="I368" i="14"/>
  <c r="I369" i="14"/>
  <c r="I370" i="14"/>
  <c r="H364" i="14"/>
  <c r="H365" i="14"/>
  <c r="H366" i="14"/>
  <c r="H367" i="14"/>
  <c r="H368" i="14"/>
  <c r="H369" i="14"/>
  <c r="H370" i="14"/>
  <c r="G364" i="14"/>
  <c r="G365" i="14"/>
  <c r="G366" i="14"/>
  <c r="G367" i="14"/>
  <c r="G368" i="14"/>
  <c r="G369" i="14"/>
  <c r="F364" i="14"/>
  <c r="F365" i="14"/>
  <c r="F366" i="14"/>
  <c r="F367" i="14"/>
  <c r="F368" i="14"/>
  <c r="F369" i="14"/>
  <c r="F370" i="14"/>
  <c r="E364" i="14"/>
  <c r="E365" i="14"/>
  <c r="E366" i="14"/>
  <c r="E367" i="14"/>
  <c r="E368" i="14"/>
  <c r="E369" i="14"/>
  <c r="E370" i="14"/>
  <c r="C369" i="14"/>
  <c r="B369" i="14"/>
  <c r="C368" i="14"/>
  <c r="B368" i="14"/>
  <c r="C367" i="14"/>
  <c r="B367" i="14"/>
  <c r="C366" i="14"/>
  <c r="B366" i="14"/>
  <c r="C365" i="14"/>
  <c r="B365" i="14"/>
  <c r="C364" i="14"/>
  <c r="B364" i="14"/>
  <c r="I342" i="14"/>
  <c r="I343" i="14"/>
  <c r="I344" i="14"/>
  <c r="I345" i="14"/>
  <c r="I346" i="14"/>
  <c r="I347" i="14"/>
  <c r="I348" i="14"/>
  <c r="I349" i="14"/>
  <c r="I350" i="14"/>
  <c r="I351" i="14"/>
  <c r="I352" i="14"/>
  <c r="I353" i="14"/>
  <c r="I354" i="14"/>
  <c r="I355" i="14"/>
  <c r="I356" i="14"/>
  <c r="I357" i="14"/>
  <c r="I358" i="14"/>
  <c r="I359" i="14"/>
  <c r="H342" i="14"/>
  <c r="H343" i="14"/>
  <c r="H344" i="14"/>
  <c r="H345" i="14"/>
  <c r="H346" i="14"/>
  <c r="H347" i="14"/>
  <c r="H348" i="14"/>
  <c r="H349" i="14"/>
  <c r="H350" i="14"/>
  <c r="H351" i="14"/>
  <c r="H352" i="14"/>
  <c r="H353" i="14"/>
  <c r="H354" i="14"/>
  <c r="H355" i="14"/>
  <c r="H356" i="14"/>
  <c r="H357" i="14"/>
  <c r="H358" i="14"/>
  <c r="H359" i="14"/>
  <c r="G342" i="14"/>
  <c r="G343" i="14"/>
  <c r="G344" i="14"/>
  <c r="G345" i="14"/>
  <c r="G346" i="14"/>
  <c r="G347" i="14"/>
  <c r="G348" i="14"/>
  <c r="G349" i="14"/>
  <c r="G350" i="14"/>
  <c r="G351" i="14"/>
  <c r="G352" i="14"/>
  <c r="G353" i="14"/>
  <c r="G354" i="14"/>
  <c r="G355" i="14"/>
  <c r="G356" i="14"/>
  <c r="G357" i="14"/>
  <c r="G358" i="14"/>
  <c r="G359" i="14"/>
  <c r="F342" i="14"/>
  <c r="F343" i="14"/>
  <c r="F344" i="14"/>
  <c r="F345" i="14"/>
  <c r="F346" i="14"/>
  <c r="F347" i="14"/>
  <c r="F348" i="14"/>
  <c r="F349" i="14"/>
  <c r="F350" i="14"/>
  <c r="F351" i="14"/>
  <c r="F352" i="14"/>
  <c r="F353" i="14"/>
  <c r="F354" i="14"/>
  <c r="F355" i="14"/>
  <c r="F356" i="14"/>
  <c r="F357" i="14"/>
  <c r="F358" i="14"/>
  <c r="F359" i="14"/>
  <c r="E342" i="14"/>
  <c r="E343" i="14"/>
  <c r="E344" i="14"/>
  <c r="E345" i="14"/>
  <c r="E346" i="14"/>
  <c r="E347" i="14"/>
  <c r="E348" i="14"/>
  <c r="E349" i="14"/>
  <c r="E350" i="14"/>
  <c r="E351" i="14"/>
  <c r="E352" i="14"/>
  <c r="E353" i="14"/>
  <c r="E354" i="14"/>
  <c r="E355" i="14"/>
  <c r="E356" i="14"/>
  <c r="E357" i="14"/>
  <c r="E358" i="14"/>
  <c r="E359" i="14"/>
  <c r="C359" i="14"/>
  <c r="B359" i="14"/>
  <c r="C358" i="14"/>
  <c r="B358" i="14"/>
  <c r="C357" i="14"/>
  <c r="B357" i="14"/>
  <c r="C356" i="14"/>
  <c r="B356" i="14"/>
  <c r="C355" i="14"/>
  <c r="B355" i="14"/>
  <c r="C354" i="14"/>
  <c r="B354" i="14"/>
  <c r="C353" i="14"/>
  <c r="B353" i="14"/>
  <c r="C352" i="14"/>
  <c r="B352" i="14"/>
  <c r="C351" i="14"/>
  <c r="B351" i="14"/>
  <c r="C350" i="14"/>
  <c r="B350" i="14"/>
  <c r="C349" i="14"/>
  <c r="B349" i="14"/>
  <c r="C348" i="14"/>
  <c r="B348" i="14"/>
  <c r="C347" i="14"/>
  <c r="B347" i="14"/>
  <c r="C346" i="14"/>
  <c r="B346" i="14"/>
  <c r="C345" i="14"/>
  <c r="B345" i="14"/>
  <c r="C344" i="14"/>
  <c r="B344" i="14"/>
  <c r="C343" i="14"/>
  <c r="B343" i="14"/>
  <c r="C342" i="14"/>
  <c r="B342" i="14"/>
  <c r="I323" i="14"/>
  <c r="I324" i="14"/>
  <c r="I325" i="14"/>
  <c r="I326" i="14"/>
  <c r="I327" i="14"/>
  <c r="I328" i="14"/>
  <c r="I329" i="14"/>
  <c r="I330" i="14"/>
  <c r="I331" i="14"/>
  <c r="I332" i="14"/>
  <c r="I333" i="14"/>
  <c r="I334" i="14"/>
  <c r="I335" i="14"/>
  <c r="I336" i="14"/>
  <c r="I337" i="14"/>
  <c r="H323" i="14"/>
  <c r="H324" i="14"/>
  <c r="H325" i="14"/>
  <c r="H326" i="14"/>
  <c r="H327" i="14"/>
  <c r="H328" i="14"/>
  <c r="H329" i="14"/>
  <c r="H330" i="14"/>
  <c r="H331" i="14"/>
  <c r="H332" i="14"/>
  <c r="H333" i="14"/>
  <c r="H334" i="14"/>
  <c r="H335" i="14"/>
  <c r="H336" i="14"/>
  <c r="H337" i="14"/>
  <c r="G323" i="14"/>
  <c r="G324" i="14"/>
  <c r="G325" i="14"/>
  <c r="G326" i="14"/>
  <c r="G327" i="14"/>
  <c r="G328" i="14"/>
  <c r="G329" i="14"/>
  <c r="G330" i="14"/>
  <c r="G331" i="14"/>
  <c r="G332" i="14"/>
  <c r="G333" i="14"/>
  <c r="G334" i="14"/>
  <c r="G335" i="14"/>
  <c r="G336" i="14"/>
  <c r="G337" i="14"/>
  <c r="F323" i="14"/>
  <c r="F324" i="14"/>
  <c r="F325" i="14"/>
  <c r="F326" i="14"/>
  <c r="F327" i="14"/>
  <c r="F328" i="14"/>
  <c r="F329" i="14"/>
  <c r="F330" i="14"/>
  <c r="F331" i="14"/>
  <c r="F332" i="14"/>
  <c r="F333" i="14"/>
  <c r="F334" i="14"/>
  <c r="F335" i="14"/>
  <c r="F336" i="14"/>
  <c r="F337" i="14"/>
  <c r="E323" i="14"/>
  <c r="E324" i="14"/>
  <c r="E325" i="14"/>
  <c r="E326" i="14"/>
  <c r="E327" i="14"/>
  <c r="E328" i="14"/>
  <c r="E329" i="14"/>
  <c r="E330" i="14"/>
  <c r="E331" i="14"/>
  <c r="E332" i="14"/>
  <c r="E333" i="14"/>
  <c r="E334" i="14"/>
  <c r="E335" i="14"/>
  <c r="E336" i="14"/>
  <c r="E337" i="14"/>
  <c r="C337" i="14"/>
  <c r="B337" i="14"/>
  <c r="C336" i="14"/>
  <c r="B336" i="14"/>
  <c r="C335" i="14"/>
  <c r="B335" i="14"/>
  <c r="C334" i="14"/>
  <c r="B334" i="14"/>
  <c r="C333" i="14"/>
  <c r="B333" i="14"/>
  <c r="C332" i="14"/>
  <c r="B332" i="14"/>
  <c r="C331" i="14"/>
  <c r="B331" i="14"/>
  <c r="C330" i="14"/>
  <c r="B330" i="14"/>
  <c r="C329" i="14"/>
  <c r="B329" i="14"/>
  <c r="C328" i="14"/>
  <c r="B328" i="14"/>
  <c r="C327" i="14"/>
  <c r="B327" i="14"/>
  <c r="C326" i="14"/>
  <c r="B326" i="14"/>
  <c r="C325" i="14"/>
  <c r="B325" i="14"/>
  <c r="C324" i="14"/>
  <c r="B324" i="14"/>
  <c r="C323" i="14"/>
  <c r="B323" i="14"/>
  <c r="I309" i="14"/>
  <c r="I310" i="14"/>
  <c r="I311" i="14"/>
  <c r="I312" i="14"/>
  <c r="I313" i="14"/>
  <c r="I314" i="14"/>
  <c r="I315" i="14"/>
  <c r="I316" i="14"/>
  <c r="I317" i="14"/>
  <c r="I318" i="14"/>
  <c r="H309" i="14"/>
  <c r="H310" i="14"/>
  <c r="H311" i="14"/>
  <c r="H312" i="14"/>
  <c r="H313" i="14"/>
  <c r="H314" i="14"/>
  <c r="H315" i="14"/>
  <c r="H316" i="14"/>
  <c r="H317" i="14"/>
  <c r="H318" i="14"/>
  <c r="G309" i="14"/>
  <c r="G310" i="14"/>
  <c r="G311" i="14"/>
  <c r="G312" i="14"/>
  <c r="G313" i="14"/>
  <c r="G314" i="14"/>
  <c r="G315" i="14"/>
  <c r="G316" i="14"/>
  <c r="G317" i="14"/>
  <c r="G318" i="14"/>
  <c r="F309" i="14"/>
  <c r="F310" i="14"/>
  <c r="F311" i="14"/>
  <c r="F312" i="14"/>
  <c r="F313" i="14"/>
  <c r="F314" i="14"/>
  <c r="F315" i="14"/>
  <c r="F316" i="14"/>
  <c r="F317" i="14"/>
  <c r="F318" i="14"/>
  <c r="E309" i="14"/>
  <c r="E310" i="14"/>
  <c r="E311" i="14"/>
  <c r="E312" i="14"/>
  <c r="E313" i="14"/>
  <c r="E314" i="14"/>
  <c r="E315" i="14"/>
  <c r="E316" i="14"/>
  <c r="E317" i="14"/>
  <c r="E318" i="14"/>
  <c r="C318" i="14"/>
  <c r="B318" i="14"/>
  <c r="C317" i="14"/>
  <c r="B317" i="14"/>
  <c r="C316" i="14"/>
  <c r="B316" i="14"/>
  <c r="C315" i="14"/>
  <c r="B315" i="14"/>
  <c r="C314" i="14"/>
  <c r="B314" i="14"/>
  <c r="C313" i="14"/>
  <c r="B313" i="14"/>
  <c r="C312" i="14"/>
  <c r="B312" i="14"/>
  <c r="C311" i="14"/>
  <c r="B311" i="14"/>
  <c r="C310" i="14"/>
  <c r="B310" i="14"/>
  <c r="C309" i="14"/>
  <c r="B309" i="14"/>
  <c r="I298" i="14"/>
  <c r="I299" i="14"/>
  <c r="I300" i="14"/>
  <c r="I301" i="14"/>
  <c r="I302" i="14"/>
  <c r="I303" i="14"/>
  <c r="I304" i="14"/>
  <c r="H298" i="14"/>
  <c r="H299" i="14"/>
  <c r="H300" i="14"/>
  <c r="H301" i="14"/>
  <c r="H302" i="14"/>
  <c r="H303" i="14"/>
  <c r="H304" i="14"/>
  <c r="G298" i="14"/>
  <c r="G299" i="14"/>
  <c r="G300" i="14"/>
  <c r="G301" i="14"/>
  <c r="G302" i="14"/>
  <c r="G303" i="14"/>
  <c r="G304" i="14"/>
  <c r="F298" i="14"/>
  <c r="F299" i="14"/>
  <c r="F300" i="14"/>
  <c r="F301" i="14"/>
  <c r="F302" i="14"/>
  <c r="F303" i="14"/>
  <c r="F304" i="14"/>
  <c r="E298" i="14"/>
  <c r="E299" i="14"/>
  <c r="E300" i="14"/>
  <c r="E301" i="14"/>
  <c r="E302" i="14"/>
  <c r="E303" i="14"/>
  <c r="E304" i="14"/>
  <c r="C304" i="14"/>
  <c r="B304" i="14"/>
  <c r="C303" i="14"/>
  <c r="B303" i="14"/>
  <c r="C302" i="14"/>
  <c r="B302" i="14"/>
  <c r="C301" i="14"/>
  <c r="B301" i="14"/>
  <c r="C300" i="14"/>
  <c r="B300" i="14"/>
  <c r="C299" i="14"/>
  <c r="B299" i="14"/>
  <c r="C298" i="14"/>
  <c r="B298" i="14"/>
  <c r="I277" i="14"/>
  <c r="I278" i="14"/>
  <c r="I279" i="14"/>
  <c r="I280" i="14"/>
  <c r="I281" i="14"/>
  <c r="I282" i="14"/>
  <c r="I283" i="14"/>
  <c r="I284" i="14"/>
  <c r="I285" i="14"/>
  <c r="I286" i="14"/>
  <c r="I287" i="14"/>
  <c r="I288" i="14"/>
  <c r="I289" i="14"/>
  <c r="I290" i="14"/>
  <c r="I291" i="14"/>
  <c r="I292" i="14"/>
  <c r="I293" i="14"/>
  <c r="H277" i="14"/>
  <c r="H278" i="14"/>
  <c r="H279" i="14"/>
  <c r="H280" i="14"/>
  <c r="H281" i="14"/>
  <c r="H282" i="14"/>
  <c r="H283" i="14"/>
  <c r="H284" i="14"/>
  <c r="H285" i="14"/>
  <c r="H286" i="14"/>
  <c r="H287" i="14"/>
  <c r="H288" i="14"/>
  <c r="H289" i="14"/>
  <c r="H290" i="14"/>
  <c r="H291" i="14"/>
  <c r="H292" i="14"/>
  <c r="H293" i="14"/>
  <c r="G277" i="14"/>
  <c r="G278" i="14"/>
  <c r="G279" i="14"/>
  <c r="G280" i="14"/>
  <c r="G281" i="14"/>
  <c r="G282" i="14"/>
  <c r="G283" i="14"/>
  <c r="G284" i="14"/>
  <c r="G285" i="14"/>
  <c r="G286" i="14"/>
  <c r="G287" i="14"/>
  <c r="G288" i="14"/>
  <c r="G289" i="14"/>
  <c r="G290" i="14"/>
  <c r="G291" i="14"/>
  <c r="G292" i="14"/>
  <c r="G293" i="14"/>
  <c r="F277" i="14"/>
  <c r="F278" i="14"/>
  <c r="F279" i="14"/>
  <c r="F280" i="14"/>
  <c r="F281" i="14"/>
  <c r="F282" i="14"/>
  <c r="F283" i="14"/>
  <c r="F285" i="14"/>
  <c r="F286" i="14"/>
  <c r="F287" i="14"/>
  <c r="F288" i="14"/>
  <c r="F289" i="14"/>
  <c r="F290" i="14"/>
  <c r="F291" i="14"/>
  <c r="F292" i="14"/>
  <c r="F293" i="14"/>
  <c r="E277" i="14"/>
  <c r="E278" i="14"/>
  <c r="E279" i="14"/>
  <c r="E280" i="14"/>
  <c r="E281" i="14"/>
  <c r="E282" i="14"/>
  <c r="E283" i="14"/>
  <c r="E284" i="14"/>
  <c r="E285" i="14"/>
  <c r="E286" i="14"/>
  <c r="E287" i="14"/>
  <c r="E288" i="14"/>
  <c r="E289" i="14"/>
  <c r="E290" i="14"/>
  <c r="E291" i="14"/>
  <c r="E292" i="14"/>
  <c r="E293" i="14"/>
  <c r="C293" i="14"/>
  <c r="B293" i="14"/>
  <c r="C292" i="14"/>
  <c r="B292" i="14"/>
  <c r="C291" i="14"/>
  <c r="B291" i="14"/>
  <c r="C290" i="14"/>
  <c r="B290" i="14"/>
  <c r="C289" i="14"/>
  <c r="B289" i="14"/>
  <c r="C288" i="14"/>
  <c r="B288" i="14"/>
  <c r="C287" i="14"/>
  <c r="B287" i="14"/>
  <c r="C286" i="14"/>
  <c r="B286" i="14"/>
  <c r="C285" i="14"/>
  <c r="B285" i="14"/>
  <c r="C284" i="14"/>
  <c r="B284" i="14"/>
  <c r="C283" i="14"/>
  <c r="B283" i="14"/>
  <c r="C282" i="14"/>
  <c r="B282" i="14"/>
  <c r="C281" i="14"/>
  <c r="B281" i="14"/>
  <c r="C280" i="14"/>
  <c r="B280" i="14"/>
  <c r="C279" i="14"/>
  <c r="B279" i="14"/>
  <c r="C278" i="14"/>
  <c r="B278" i="14"/>
  <c r="C277" i="14"/>
  <c r="B277" i="14"/>
  <c r="I259" i="14"/>
  <c r="I260" i="14"/>
  <c r="I261" i="14"/>
  <c r="I262" i="14"/>
  <c r="I263" i="14"/>
  <c r="I264" i="14"/>
  <c r="I265" i="14"/>
  <c r="I266" i="14"/>
  <c r="I267" i="14"/>
  <c r="I268" i="14"/>
  <c r="I269" i="14"/>
  <c r="I270" i="14"/>
  <c r="I271" i="14"/>
  <c r="I272" i="14"/>
  <c r="H259" i="14"/>
  <c r="H260" i="14"/>
  <c r="H261" i="14"/>
  <c r="H262" i="14"/>
  <c r="H263" i="14"/>
  <c r="H264" i="14"/>
  <c r="H265" i="14"/>
  <c r="H266" i="14"/>
  <c r="H267" i="14"/>
  <c r="H268" i="14"/>
  <c r="H269" i="14"/>
  <c r="H270" i="14"/>
  <c r="H271" i="14"/>
  <c r="H272" i="14"/>
  <c r="G259" i="14"/>
  <c r="G260" i="14"/>
  <c r="G261" i="14"/>
  <c r="G262" i="14"/>
  <c r="G263" i="14"/>
  <c r="G264" i="14"/>
  <c r="G265" i="14"/>
  <c r="G266" i="14"/>
  <c r="G267" i="14"/>
  <c r="G268" i="14"/>
  <c r="G269" i="14"/>
  <c r="G270" i="14"/>
  <c r="G271" i="14"/>
  <c r="G272" i="14"/>
  <c r="F259" i="14"/>
  <c r="F260" i="14"/>
  <c r="F261" i="14"/>
  <c r="F262" i="14"/>
  <c r="F263" i="14"/>
  <c r="F264" i="14"/>
  <c r="F266" i="14"/>
  <c r="F267" i="14"/>
  <c r="F268" i="14"/>
  <c r="F269" i="14"/>
  <c r="F270" i="14"/>
  <c r="F271" i="14"/>
  <c r="F272" i="14"/>
  <c r="E259" i="14"/>
  <c r="E260" i="14"/>
  <c r="E261" i="14"/>
  <c r="E262" i="14"/>
  <c r="E263" i="14"/>
  <c r="E264" i="14"/>
  <c r="E265" i="14"/>
  <c r="E266" i="14"/>
  <c r="E267" i="14"/>
  <c r="E268" i="14"/>
  <c r="E269" i="14"/>
  <c r="E270" i="14"/>
  <c r="E271" i="14"/>
  <c r="E272" i="14"/>
  <c r="C272" i="14"/>
  <c r="B272" i="14"/>
  <c r="C271" i="14"/>
  <c r="B271" i="14"/>
  <c r="C270" i="14"/>
  <c r="B270" i="14"/>
  <c r="C269" i="14"/>
  <c r="B269" i="14"/>
  <c r="C268" i="14"/>
  <c r="B268" i="14"/>
  <c r="C267" i="14"/>
  <c r="B267" i="14"/>
  <c r="C266" i="14"/>
  <c r="B266" i="14"/>
  <c r="C265" i="14"/>
  <c r="B265" i="14"/>
  <c r="C264" i="14"/>
  <c r="B264" i="14"/>
  <c r="C263" i="14"/>
  <c r="B263" i="14"/>
  <c r="C262" i="14"/>
  <c r="B262" i="14"/>
  <c r="C261" i="14"/>
  <c r="B261" i="14"/>
  <c r="C260" i="14"/>
  <c r="B260" i="14"/>
  <c r="C259" i="14"/>
  <c r="B259" i="14"/>
  <c r="I244" i="14"/>
  <c r="I245" i="14"/>
  <c r="I246" i="14"/>
  <c r="I247" i="14"/>
  <c r="I248" i="14"/>
  <c r="I249" i="14"/>
  <c r="I250" i="14"/>
  <c r="I251" i="14"/>
  <c r="I252" i="14"/>
  <c r="I253" i="14"/>
  <c r="I254" i="14"/>
  <c r="H244" i="14"/>
  <c r="H245" i="14"/>
  <c r="H246" i="14"/>
  <c r="H247" i="14"/>
  <c r="H248" i="14"/>
  <c r="H249" i="14"/>
  <c r="H250" i="14"/>
  <c r="H251" i="14"/>
  <c r="H252" i="14"/>
  <c r="H253" i="14"/>
  <c r="H254" i="14"/>
  <c r="H255" i="14"/>
  <c r="G244" i="14"/>
  <c r="G245" i="14"/>
  <c r="G246" i="14"/>
  <c r="G247" i="14"/>
  <c r="G248" i="14"/>
  <c r="G249" i="14"/>
  <c r="G250" i="14"/>
  <c r="G251" i="14"/>
  <c r="G252" i="14"/>
  <c r="G253" i="14"/>
  <c r="G254" i="14"/>
  <c r="G255" i="14"/>
  <c r="F244" i="14"/>
  <c r="F245" i="14"/>
  <c r="F246" i="14"/>
  <c r="F247" i="14"/>
  <c r="F249" i="14"/>
  <c r="F250" i="14"/>
  <c r="F251" i="14"/>
  <c r="F252" i="14"/>
  <c r="F253" i="14"/>
  <c r="F254" i="14"/>
  <c r="E244" i="14"/>
  <c r="E245" i="14"/>
  <c r="E246" i="14"/>
  <c r="E247" i="14"/>
  <c r="E248" i="14"/>
  <c r="E249" i="14"/>
  <c r="E250" i="14"/>
  <c r="E251" i="14"/>
  <c r="E252" i="14"/>
  <c r="E253" i="14"/>
  <c r="E254" i="14"/>
  <c r="C254" i="14"/>
  <c r="B254" i="14"/>
  <c r="C253" i="14"/>
  <c r="B253" i="14"/>
  <c r="C252" i="14"/>
  <c r="B252" i="14"/>
  <c r="C251" i="14"/>
  <c r="B251" i="14"/>
  <c r="C250" i="14"/>
  <c r="B250" i="14"/>
  <c r="C249" i="14"/>
  <c r="B249" i="14"/>
  <c r="C248" i="14"/>
  <c r="B248" i="14"/>
  <c r="C247" i="14"/>
  <c r="B247" i="14"/>
  <c r="C246" i="14"/>
  <c r="B246" i="14"/>
  <c r="C245" i="14"/>
  <c r="B245" i="14"/>
  <c r="C244" i="14"/>
  <c r="B244" i="14"/>
  <c r="I234" i="14"/>
  <c r="I235" i="14"/>
  <c r="I236" i="14"/>
  <c r="I237" i="14"/>
  <c r="I238" i="14"/>
  <c r="I239" i="14"/>
  <c r="H234" i="14"/>
  <c r="H235" i="14"/>
  <c r="H236" i="14"/>
  <c r="H237" i="14"/>
  <c r="H238" i="14"/>
  <c r="H239" i="14"/>
  <c r="G234" i="14"/>
  <c r="G235" i="14"/>
  <c r="G236" i="14"/>
  <c r="G237" i="14"/>
  <c r="G238" i="14"/>
  <c r="G239" i="14"/>
  <c r="F234" i="14"/>
  <c r="F235" i="14"/>
  <c r="F237" i="14"/>
  <c r="F238" i="14"/>
  <c r="F239" i="14"/>
  <c r="E234" i="14"/>
  <c r="E236" i="14"/>
  <c r="E237" i="14"/>
  <c r="E238" i="14"/>
  <c r="E239" i="14"/>
  <c r="C239" i="14"/>
  <c r="B239" i="14"/>
  <c r="C238" i="14"/>
  <c r="B238" i="14"/>
  <c r="C237" i="14"/>
  <c r="B237" i="14"/>
  <c r="C236" i="14"/>
  <c r="B236" i="14"/>
  <c r="C235" i="14"/>
  <c r="B235" i="14"/>
  <c r="C234" i="14"/>
  <c r="B234" i="14"/>
  <c r="I224" i="14"/>
  <c r="I225" i="14"/>
  <c r="I226" i="14"/>
  <c r="I227" i="14"/>
  <c r="I229" i="14"/>
  <c r="I230" i="14"/>
  <c r="H224" i="14"/>
  <c r="H225" i="14"/>
  <c r="H226" i="14"/>
  <c r="H227" i="14"/>
  <c r="H229" i="14"/>
  <c r="H230" i="14"/>
  <c r="G224" i="14"/>
  <c r="G225" i="14"/>
  <c r="G226" i="14"/>
  <c r="G227" i="14"/>
  <c r="G229" i="14"/>
  <c r="G230" i="14"/>
  <c r="F224" i="14"/>
  <c r="F225" i="14"/>
  <c r="F226" i="14"/>
  <c r="F227" i="14"/>
  <c r="F229" i="14"/>
  <c r="F230" i="14"/>
  <c r="E224" i="14"/>
  <c r="E225" i="14"/>
  <c r="E226" i="14"/>
  <c r="E227" i="14"/>
  <c r="E229" i="14"/>
  <c r="C229" i="14"/>
  <c r="B229" i="14"/>
  <c r="C227" i="14"/>
  <c r="B227" i="14"/>
  <c r="C226" i="14"/>
  <c r="B226" i="14"/>
  <c r="C225" i="14"/>
  <c r="B225" i="14"/>
  <c r="C224" i="14"/>
  <c r="B224" i="14"/>
  <c r="I211" i="14"/>
  <c r="I212" i="14"/>
  <c r="I213" i="14"/>
  <c r="I214" i="14"/>
  <c r="I215" i="14"/>
  <c r="I216" i="14"/>
  <c r="I217" i="14"/>
  <c r="I218" i="14"/>
  <c r="I219" i="14"/>
  <c r="H211" i="14"/>
  <c r="H212" i="14"/>
  <c r="H213" i="14"/>
  <c r="H214" i="14"/>
  <c r="H215" i="14"/>
  <c r="H216" i="14"/>
  <c r="H217" i="14"/>
  <c r="H218" i="14"/>
  <c r="H219" i="14"/>
  <c r="G211" i="14"/>
  <c r="G212" i="14"/>
  <c r="G213" i="14"/>
  <c r="G214" i="14"/>
  <c r="G215" i="14"/>
  <c r="G216" i="14"/>
  <c r="G217" i="14"/>
  <c r="G218" i="14"/>
  <c r="G219" i="14"/>
  <c r="F211" i="14"/>
  <c r="F212" i="14"/>
  <c r="F213" i="14"/>
  <c r="F214" i="14"/>
  <c r="F215" i="14"/>
  <c r="F216" i="14"/>
  <c r="F217" i="14"/>
  <c r="F218" i="14"/>
  <c r="F219" i="14"/>
  <c r="E211" i="14"/>
  <c r="E212" i="14"/>
  <c r="E213" i="14"/>
  <c r="E214" i="14"/>
  <c r="E215" i="14"/>
  <c r="E216" i="14"/>
  <c r="E217" i="14"/>
  <c r="E218" i="14"/>
  <c r="E219" i="14"/>
  <c r="C219" i="14"/>
  <c r="B219" i="14"/>
  <c r="C218" i="14"/>
  <c r="B218" i="14"/>
  <c r="C217" i="14"/>
  <c r="B217" i="14"/>
  <c r="C216" i="14"/>
  <c r="B216" i="14"/>
  <c r="C215" i="14"/>
  <c r="B215" i="14"/>
  <c r="C214" i="14"/>
  <c r="B214" i="14"/>
  <c r="C213" i="14"/>
  <c r="B213" i="14"/>
  <c r="C212" i="14"/>
  <c r="B212" i="14"/>
  <c r="C211" i="14"/>
  <c r="B211" i="14"/>
  <c r="B193" i="14"/>
  <c r="C193" i="14"/>
  <c r="E193" i="14"/>
  <c r="F193" i="14"/>
  <c r="G193" i="14"/>
  <c r="H193" i="14"/>
  <c r="I193" i="14"/>
  <c r="B194" i="14"/>
  <c r="C194" i="14"/>
  <c r="E194" i="14"/>
  <c r="F194" i="14"/>
  <c r="G194" i="14"/>
  <c r="H194" i="14"/>
  <c r="I194" i="14"/>
  <c r="B195" i="14"/>
  <c r="C195" i="14"/>
  <c r="E195" i="14"/>
  <c r="F195" i="14"/>
  <c r="G195" i="14"/>
  <c r="H195" i="14"/>
  <c r="I195" i="14"/>
  <c r="B196" i="14"/>
  <c r="C196" i="14"/>
  <c r="E196" i="14"/>
  <c r="F196" i="14"/>
  <c r="G196" i="14"/>
  <c r="H196" i="14"/>
  <c r="I196" i="14"/>
  <c r="B197" i="14"/>
  <c r="C197" i="14"/>
  <c r="E197" i="14"/>
  <c r="F197" i="14"/>
  <c r="G197" i="14"/>
  <c r="H197" i="14"/>
  <c r="I197" i="14"/>
  <c r="B198" i="14"/>
  <c r="C198" i="14"/>
  <c r="E198" i="14"/>
  <c r="F198" i="14"/>
  <c r="G198" i="14"/>
  <c r="H198" i="14"/>
  <c r="I198" i="14"/>
  <c r="B199" i="14"/>
  <c r="C199" i="14"/>
  <c r="E199" i="14"/>
  <c r="F199" i="14"/>
  <c r="G199" i="14"/>
  <c r="H199" i="14"/>
  <c r="I199" i="14"/>
  <c r="B200" i="14"/>
  <c r="C200" i="14"/>
  <c r="E200" i="14"/>
  <c r="F200" i="14"/>
  <c r="G200" i="14"/>
  <c r="H200" i="14"/>
  <c r="I200" i="14"/>
  <c r="B201" i="14"/>
  <c r="C201" i="14"/>
  <c r="E201" i="14"/>
  <c r="F201" i="14"/>
  <c r="G201" i="14"/>
  <c r="H201" i="14"/>
  <c r="I201" i="14"/>
  <c r="B202" i="14"/>
  <c r="C202" i="14"/>
  <c r="E202" i="14"/>
  <c r="F202" i="14"/>
  <c r="G202" i="14"/>
  <c r="H202" i="14"/>
  <c r="I202" i="14"/>
  <c r="B203" i="14"/>
  <c r="C203" i="14"/>
  <c r="E203" i="14"/>
  <c r="F203" i="14"/>
  <c r="G203" i="14"/>
  <c r="H203" i="14"/>
  <c r="I203" i="14"/>
  <c r="B204" i="14"/>
  <c r="C204" i="14"/>
  <c r="E204" i="14"/>
  <c r="F204" i="14"/>
  <c r="G204" i="14"/>
  <c r="H204" i="14"/>
  <c r="I204" i="14"/>
  <c r="B205" i="14"/>
  <c r="C205" i="14"/>
  <c r="E205" i="14"/>
  <c r="F205" i="14"/>
  <c r="G205" i="14"/>
  <c r="H205" i="14"/>
  <c r="I205" i="14"/>
  <c r="B206" i="14"/>
  <c r="C206" i="14"/>
  <c r="E206" i="14"/>
  <c r="F206" i="14"/>
  <c r="G206" i="14"/>
  <c r="H206" i="14"/>
  <c r="I206" i="14"/>
  <c r="I178" i="14"/>
  <c r="I179" i="14"/>
  <c r="I180" i="14"/>
  <c r="I181" i="14"/>
  <c r="I182" i="14"/>
  <c r="I183" i="14"/>
  <c r="I184" i="14"/>
  <c r="I185" i="14"/>
  <c r="I186" i="14"/>
  <c r="I187" i="14"/>
  <c r="I188" i="14"/>
  <c r="H178" i="14"/>
  <c r="H179" i="14"/>
  <c r="H180" i="14"/>
  <c r="H181" i="14"/>
  <c r="H182" i="14"/>
  <c r="H183" i="14"/>
  <c r="H184" i="14"/>
  <c r="H185" i="14"/>
  <c r="H186" i="14"/>
  <c r="H187" i="14"/>
  <c r="H188" i="14"/>
  <c r="G178" i="14"/>
  <c r="G179" i="14"/>
  <c r="G180" i="14"/>
  <c r="G181" i="14"/>
  <c r="G182" i="14"/>
  <c r="G183" i="14"/>
  <c r="G184" i="14"/>
  <c r="G185" i="14"/>
  <c r="G186" i="14"/>
  <c r="G187" i="14"/>
  <c r="G188" i="14"/>
  <c r="F178" i="14"/>
  <c r="F179" i="14"/>
  <c r="F180" i="14"/>
  <c r="F181" i="14"/>
  <c r="F182" i="14"/>
  <c r="F183" i="14"/>
  <c r="F184" i="14"/>
  <c r="F185" i="14"/>
  <c r="F186" i="14"/>
  <c r="F187" i="14"/>
  <c r="F188" i="14"/>
  <c r="E178" i="14"/>
  <c r="E179" i="14"/>
  <c r="E180" i="14"/>
  <c r="E181" i="14"/>
  <c r="E182" i="14"/>
  <c r="E183" i="14"/>
  <c r="E184" i="14"/>
  <c r="E185" i="14"/>
  <c r="E186" i="14"/>
  <c r="E187" i="14"/>
  <c r="E188" i="14"/>
  <c r="C188" i="14"/>
  <c r="B188" i="14"/>
  <c r="C187" i="14"/>
  <c r="B187" i="14"/>
  <c r="C186" i="14"/>
  <c r="B186" i="14"/>
  <c r="C185" i="14"/>
  <c r="B185" i="14"/>
  <c r="C184" i="14"/>
  <c r="B184" i="14"/>
  <c r="C183" i="14"/>
  <c r="B183" i="14"/>
  <c r="C182" i="14"/>
  <c r="B182" i="14"/>
  <c r="C181" i="14"/>
  <c r="B181" i="14"/>
  <c r="C180" i="14"/>
  <c r="B180" i="14"/>
  <c r="C179" i="14"/>
  <c r="B179" i="14"/>
  <c r="C178" i="14"/>
  <c r="B178" i="14"/>
  <c r="I163" i="14"/>
  <c r="I164" i="14"/>
  <c r="I166" i="14"/>
  <c r="I167" i="14"/>
  <c r="I168" i="14"/>
  <c r="I169" i="14"/>
  <c r="I170" i="14"/>
  <c r="I171" i="14"/>
  <c r="I172" i="14"/>
  <c r="I173" i="14"/>
  <c r="I174" i="14"/>
  <c r="H163" i="14"/>
  <c r="H164" i="14"/>
  <c r="H166" i="14"/>
  <c r="H167" i="14"/>
  <c r="H168" i="14"/>
  <c r="H169" i="14"/>
  <c r="H170" i="14"/>
  <c r="H171" i="14"/>
  <c r="H172" i="14"/>
  <c r="H173" i="14"/>
  <c r="H174" i="14"/>
  <c r="G163" i="14"/>
  <c r="G164" i="14"/>
  <c r="G166" i="14"/>
  <c r="G167" i="14"/>
  <c r="G168" i="14"/>
  <c r="G169" i="14"/>
  <c r="G170" i="14"/>
  <c r="G171" i="14"/>
  <c r="G172" i="14"/>
  <c r="G173" i="14"/>
  <c r="F163" i="14"/>
  <c r="F164" i="14"/>
  <c r="F166" i="14"/>
  <c r="F167" i="14"/>
  <c r="F168" i="14"/>
  <c r="F169" i="14"/>
  <c r="F170" i="14"/>
  <c r="F171" i="14"/>
  <c r="F172" i="14"/>
  <c r="F173" i="14"/>
  <c r="E163" i="14"/>
  <c r="E164" i="14"/>
  <c r="E166" i="14"/>
  <c r="E167" i="14"/>
  <c r="E168" i="14"/>
  <c r="E169" i="14"/>
  <c r="E170" i="14"/>
  <c r="E171" i="14"/>
  <c r="E172" i="14"/>
  <c r="E173" i="14"/>
  <c r="C173" i="14"/>
  <c r="B173" i="14"/>
  <c r="C172" i="14"/>
  <c r="B172" i="14"/>
  <c r="C171" i="14"/>
  <c r="B171" i="14"/>
  <c r="C170" i="14"/>
  <c r="B170" i="14"/>
  <c r="C169" i="14"/>
  <c r="B169" i="14"/>
  <c r="C168" i="14"/>
  <c r="B168" i="14"/>
  <c r="C167" i="14"/>
  <c r="B167" i="14"/>
  <c r="C166" i="14"/>
  <c r="B166" i="14"/>
  <c r="C164" i="14"/>
  <c r="B164" i="14"/>
  <c r="C163" i="14"/>
  <c r="B163" i="14"/>
  <c r="I152" i="14"/>
  <c r="I153" i="14"/>
  <c r="I154" i="14"/>
  <c r="I155" i="14"/>
  <c r="I156" i="14"/>
  <c r="I157" i="14"/>
  <c r="I158" i="14"/>
  <c r="I159" i="14"/>
  <c r="H152" i="14"/>
  <c r="H153" i="14"/>
  <c r="H154" i="14"/>
  <c r="H155" i="14"/>
  <c r="H156" i="14"/>
  <c r="H157" i="14"/>
  <c r="H158" i="14"/>
  <c r="G152" i="14"/>
  <c r="G153" i="14"/>
  <c r="G154" i="14"/>
  <c r="G155" i="14"/>
  <c r="G156" i="14"/>
  <c r="G157" i="14"/>
  <c r="G158" i="14"/>
  <c r="F152" i="14"/>
  <c r="F153" i="14"/>
  <c r="F154" i="14"/>
  <c r="F155" i="14"/>
  <c r="F156" i="14"/>
  <c r="F157" i="14"/>
  <c r="F158" i="14"/>
  <c r="E152" i="14"/>
  <c r="E153" i="14"/>
  <c r="E154" i="14"/>
  <c r="E155" i="14"/>
  <c r="E156" i="14"/>
  <c r="E157" i="14"/>
  <c r="E158" i="14"/>
  <c r="C158" i="14"/>
  <c r="B158" i="14"/>
  <c r="C157" i="14"/>
  <c r="B157" i="14"/>
  <c r="C156" i="14"/>
  <c r="B156" i="14"/>
  <c r="C155" i="14"/>
  <c r="B155" i="14"/>
  <c r="C154" i="14"/>
  <c r="B154" i="14"/>
  <c r="C153" i="14"/>
  <c r="B153" i="14"/>
  <c r="C152" i="14"/>
  <c r="B152" i="14"/>
  <c r="I137" i="14"/>
  <c r="I138" i="14"/>
  <c r="I139" i="14"/>
  <c r="I140" i="14"/>
  <c r="I141" i="14"/>
  <c r="I142" i="14"/>
  <c r="I143" i="14"/>
  <c r="I144" i="14"/>
  <c r="I145" i="14"/>
  <c r="I146" i="14"/>
  <c r="I147" i="14"/>
  <c r="H137" i="14"/>
  <c r="H138" i="14"/>
  <c r="H139" i="14"/>
  <c r="H140" i="14"/>
  <c r="H141" i="14"/>
  <c r="H142" i="14"/>
  <c r="H143" i="14"/>
  <c r="H144" i="14"/>
  <c r="H145" i="14"/>
  <c r="H146" i="14"/>
  <c r="H147" i="14"/>
  <c r="G137" i="14"/>
  <c r="G138" i="14"/>
  <c r="G139" i="14"/>
  <c r="G140" i="14"/>
  <c r="G141" i="14"/>
  <c r="G142" i="14"/>
  <c r="G143" i="14"/>
  <c r="G144" i="14"/>
  <c r="G145" i="14"/>
  <c r="G146" i="14"/>
  <c r="G147" i="14"/>
  <c r="F137" i="14"/>
  <c r="F138" i="14"/>
  <c r="F139" i="14"/>
  <c r="F140" i="14"/>
  <c r="F141" i="14"/>
  <c r="F142" i="14"/>
  <c r="F143" i="14"/>
  <c r="F144" i="14"/>
  <c r="F145" i="14"/>
  <c r="F146" i="14"/>
  <c r="F147" i="14"/>
  <c r="E137" i="14"/>
  <c r="E138" i="14"/>
  <c r="E139" i="14"/>
  <c r="E140" i="14"/>
  <c r="E141" i="14"/>
  <c r="E142" i="14"/>
  <c r="E143" i="14"/>
  <c r="E144" i="14"/>
  <c r="E145" i="14"/>
  <c r="E146" i="14"/>
  <c r="E147" i="14"/>
  <c r="C147" i="14"/>
  <c r="B147" i="14"/>
  <c r="C146" i="14"/>
  <c r="B146" i="14"/>
  <c r="C145" i="14"/>
  <c r="B145" i="14"/>
  <c r="C144" i="14"/>
  <c r="B144" i="14"/>
  <c r="C143" i="14"/>
  <c r="B143" i="14"/>
  <c r="C142" i="14"/>
  <c r="B142" i="14"/>
  <c r="C141" i="14"/>
  <c r="B141" i="14"/>
  <c r="C140" i="14"/>
  <c r="B140" i="14"/>
  <c r="C139" i="14"/>
  <c r="B139" i="14"/>
  <c r="C138" i="14"/>
  <c r="B138" i="14"/>
  <c r="C137" i="14"/>
  <c r="B137" i="14"/>
  <c r="I115" i="14"/>
  <c r="I116" i="14"/>
  <c r="I117" i="14"/>
  <c r="I118" i="14"/>
  <c r="I119" i="14"/>
  <c r="I120" i="14"/>
  <c r="I121" i="14"/>
  <c r="I122" i="14"/>
  <c r="I123" i="14"/>
  <c r="I124" i="14"/>
  <c r="I125" i="14"/>
  <c r="I126" i="14"/>
  <c r="I127" i="14"/>
  <c r="I128" i="14"/>
  <c r="I129" i="14"/>
  <c r="I130" i="14"/>
  <c r="I131" i="14"/>
  <c r="I132" i="14"/>
  <c r="H115" i="14"/>
  <c r="H116" i="14"/>
  <c r="H117" i="14"/>
  <c r="H118" i="14"/>
  <c r="H119" i="14"/>
  <c r="H120" i="14"/>
  <c r="H121" i="14"/>
  <c r="H122" i="14"/>
  <c r="H123" i="14"/>
  <c r="H124" i="14"/>
  <c r="H125" i="14"/>
  <c r="H126" i="14"/>
  <c r="H127" i="14"/>
  <c r="H128" i="14"/>
  <c r="H129" i="14"/>
  <c r="H130" i="14"/>
  <c r="H131" i="14"/>
  <c r="H132" i="14"/>
  <c r="G115" i="14"/>
  <c r="G116" i="14"/>
  <c r="G117" i="14"/>
  <c r="G118" i="14"/>
  <c r="G119" i="14"/>
  <c r="G120" i="14"/>
  <c r="G121" i="14"/>
  <c r="G122" i="14"/>
  <c r="G123" i="14"/>
  <c r="G124" i="14"/>
  <c r="G125" i="14"/>
  <c r="G126" i="14"/>
  <c r="G127" i="14"/>
  <c r="G128" i="14"/>
  <c r="G129" i="14"/>
  <c r="G130" i="14"/>
  <c r="G131" i="14"/>
  <c r="G132" i="14"/>
  <c r="F115" i="14"/>
  <c r="F116" i="14"/>
  <c r="F117" i="14"/>
  <c r="F118" i="14"/>
  <c r="F119" i="14"/>
  <c r="F120" i="14"/>
  <c r="F121" i="14"/>
  <c r="F122" i="14"/>
  <c r="F123" i="14"/>
  <c r="F124" i="14"/>
  <c r="F125" i="14"/>
  <c r="F126" i="14"/>
  <c r="F127" i="14"/>
  <c r="F128" i="14"/>
  <c r="F129" i="14"/>
  <c r="F130" i="14"/>
  <c r="F131" i="14"/>
  <c r="F132" i="14"/>
  <c r="E115" i="14"/>
  <c r="E116" i="14"/>
  <c r="E117" i="14"/>
  <c r="E118" i="14"/>
  <c r="E119" i="14"/>
  <c r="E120" i="14"/>
  <c r="E121" i="14"/>
  <c r="E122" i="14"/>
  <c r="E123" i="14"/>
  <c r="E124" i="14"/>
  <c r="E125" i="14"/>
  <c r="E126" i="14"/>
  <c r="E127" i="14"/>
  <c r="E128" i="14"/>
  <c r="E129" i="14"/>
  <c r="E130" i="14"/>
  <c r="E131" i="14"/>
  <c r="E132" i="14"/>
  <c r="C132" i="14"/>
  <c r="B132" i="14"/>
  <c r="C131" i="14"/>
  <c r="B131" i="14"/>
  <c r="C130" i="14"/>
  <c r="B130" i="14"/>
  <c r="C129" i="14"/>
  <c r="B129" i="14"/>
  <c r="C128" i="14"/>
  <c r="B128" i="14"/>
  <c r="C127" i="14"/>
  <c r="B127" i="14"/>
  <c r="C126" i="14"/>
  <c r="B126" i="14"/>
  <c r="C125" i="14"/>
  <c r="B125" i="14"/>
  <c r="C124" i="14"/>
  <c r="B124" i="14"/>
  <c r="C123" i="14"/>
  <c r="B123" i="14"/>
  <c r="C122" i="14"/>
  <c r="B122" i="14"/>
  <c r="C121" i="14"/>
  <c r="B121" i="14"/>
  <c r="C120" i="14"/>
  <c r="B120" i="14"/>
  <c r="C119" i="14"/>
  <c r="B119" i="14"/>
  <c r="C118" i="14"/>
  <c r="B118" i="14"/>
  <c r="C117" i="14"/>
  <c r="B117" i="14"/>
  <c r="C116" i="14"/>
  <c r="B116" i="14"/>
  <c r="C115" i="14"/>
  <c r="B115" i="14"/>
  <c r="I95" i="14"/>
  <c r="I96" i="14"/>
  <c r="I97" i="14"/>
  <c r="I98" i="14"/>
  <c r="I99" i="14"/>
  <c r="I100" i="14"/>
  <c r="I101" i="14"/>
  <c r="I102" i="14"/>
  <c r="I103" i="14"/>
  <c r="I104" i="14"/>
  <c r="I107" i="14"/>
  <c r="I108" i="14"/>
  <c r="I110" i="14"/>
  <c r="H95" i="14"/>
  <c r="H96" i="14"/>
  <c r="H97" i="14"/>
  <c r="H98" i="14"/>
  <c r="H99" i="14"/>
  <c r="H100" i="14"/>
  <c r="H101" i="14"/>
  <c r="H102" i="14"/>
  <c r="H103" i="14"/>
  <c r="H104" i="14"/>
  <c r="H107" i="14"/>
  <c r="H108" i="14"/>
  <c r="H110" i="14"/>
  <c r="G95" i="14"/>
  <c r="G96" i="14"/>
  <c r="G97" i="14"/>
  <c r="G98" i="14"/>
  <c r="G99" i="14"/>
  <c r="G100" i="14"/>
  <c r="G101" i="14"/>
  <c r="G102" i="14"/>
  <c r="G103" i="14"/>
  <c r="G104" i="14"/>
  <c r="G107" i="14"/>
  <c r="G108" i="14"/>
  <c r="G110" i="14"/>
  <c r="G111" i="14"/>
  <c r="F95" i="14"/>
  <c r="F96" i="14"/>
  <c r="F97" i="14"/>
  <c r="F98" i="14"/>
  <c r="F99" i="14"/>
  <c r="F100" i="14"/>
  <c r="F101" i="14"/>
  <c r="F102" i="14"/>
  <c r="F103" i="14"/>
  <c r="F104" i="14"/>
  <c r="F107" i="14"/>
  <c r="F108" i="14"/>
  <c r="F110" i="14"/>
  <c r="E95" i="14"/>
  <c r="E96" i="14"/>
  <c r="E97" i="14"/>
  <c r="E98" i="14"/>
  <c r="E99" i="14"/>
  <c r="E100" i="14"/>
  <c r="E101" i="14"/>
  <c r="E102" i="14"/>
  <c r="E103" i="14"/>
  <c r="E104" i="14"/>
  <c r="E107" i="14"/>
  <c r="E108" i="14"/>
  <c r="E110" i="14"/>
  <c r="C110" i="14"/>
  <c r="B110" i="14"/>
  <c r="C108" i="14"/>
  <c r="B108" i="14"/>
  <c r="C107" i="14"/>
  <c r="B107" i="14"/>
  <c r="C104" i="14"/>
  <c r="B104" i="14"/>
  <c r="C103" i="14"/>
  <c r="B103" i="14"/>
  <c r="C102" i="14"/>
  <c r="B102" i="14"/>
  <c r="C101" i="14"/>
  <c r="B101" i="14"/>
  <c r="C100" i="14"/>
  <c r="B100" i="14"/>
  <c r="C99" i="14"/>
  <c r="B99" i="14"/>
  <c r="C98" i="14"/>
  <c r="B98" i="14"/>
  <c r="C97" i="14"/>
  <c r="B97" i="14"/>
  <c r="C96" i="14"/>
  <c r="B96" i="14"/>
  <c r="C95" i="14"/>
  <c r="B95" i="14"/>
  <c r="I81" i="14"/>
  <c r="I82" i="14"/>
  <c r="I83" i="14"/>
  <c r="I84" i="14"/>
  <c r="I85" i="14"/>
  <c r="I86" i="14"/>
  <c r="I87" i="14"/>
  <c r="I88" i="14"/>
  <c r="I89" i="14"/>
  <c r="I90" i="14"/>
  <c r="H81" i="14"/>
  <c r="H82" i="14"/>
  <c r="H83" i="14"/>
  <c r="H84" i="14"/>
  <c r="H85" i="14"/>
  <c r="H86" i="14"/>
  <c r="H87" i="14"/>
  <c r="H88" i="14"/>
  <c r="H89" i="14"/>
  <c r="H90" i="14"/>
  <c r="G81" i="14"/>
  <c r="G82" i="14"/>
  <c r="G83" i="14"/>
  <c r="G84" i="14"/>
  <c r="G85" i="14"/>
  <c r="G86" i="14"/>
  <c r="G87" i="14"/>
  <c r="G88" i="14"/>
  <c r="G89" i="14"/>
  <c r="G90" i="14"/>
  <c r="F81" i="14"/>
  <c r="F82" i="14"/>
  <c r="F83" i="14"/>
  <c r="F84" i="14"/>
  <c r="F85" i="14"/>
  <c r="F86" i="14"/>
  <c r="F87" i="14"/>
  <c r="F88" i="14"/>
  <c r="F89" i="14"/>
  <c r="F90" i="14"/>
  <c r="E81" i="14"/>
  <c r="E82" i="14"/>
  <c r="E83" i="14"/>
  <c r="E84" i="14"/>
  <c r="E85" i="14"/>
  <c r="E86" i="14"/>
  <c r="E87" i="14"/>
  <c r="E88" i="14"/>
  <c r="E89" i="14"/>
  <c r="E90" i="14"/>
  <c r="E91" i="14"/>
  <c r="C90" i="14"/>
  <c r="B90" i="14"/>
  <c r="C89" i="14"/>
  <c r="B89" i="14"/>
  <c r="C88" i="14"/>
  <c r="B88" i="14"/>
  <c r="C87" i="14"/>
  <c r="B87" i="14"/>
  <c r="C86" i="14"/>
  <c r="B86" i="14"/>
  <c r="C85" i="14"/>
  <c r="B85" i="14"/>
  <c r="C84" i="14"/>
  <c r="B84" i="14"/>
  <c r="C83" i="14"/>
  <c r="B83" i="14"/>
  <c r="C82" i="14"/>
  <c r="B82" i="14"/>
  <c r="C81" i="14"/>
  <c r="B81" i="14"/>
  <c r="B72" i="14"/>
  <c r="C72" i="14"/>
  <c r="E72" i="14"/>
  <c r="F72" i="14"/>
  <c r="G72" i="14"/>
  <c r="H72" i="14"/>
  <c r="I72" i="14"/>
  <c r="I71" i="14"/>
  <c r="I73" i="14"/>
  <c r="I74" i="14"/>
  <c r="I75" i="14"/>
  <c r="I76" i="14"/>
  <c r="I77" i="14"/>
  <c r="H71" i="14"/>
  <c r="H73" i="14"/>
  <c r="H74" i="14"/>
  <c r="H75" i="14"/>
  <c r="H76" i="14"/>
  <c r="H77" i="14"/>
  <c r="G71" i="14"/>
  <c r="G73" i="14"/>
  <c r="G74" i="14"/>
  <c r="G75" i="14"/>
  <c r="G76" i="14"/>
  <c r="G77" i="14"/>
  <c r="F71" i="14"/>
  <c r="F73" i="14"/>
  <c r="F74" i="14"/>
  <c r="F75" i="14"/>
  <c r="F76" i="14"/>
  <c r="F77" i="14"/>
  <c r="E71" i="14"/>
  <c r="E73" i="14"/>
  <c r="E74" i="14"/>
  <c r="E75" i="14"/>
  <c r="E76" i="14"/>
  <c r="E77" i="14"/>
  <c r="C76" i="14"/>
  <c r="B76" i="14"/>
  <c r="C75" i="14"/>
  <c r="B75" i="14"/>
  <c r="C74" i="14"/>
  <c r="B74" i="14"/>
  <c r="C73" i="14"/>
  <c r="B73" i="14"/>
  <c r="C71" i="14"/>
  <c r="B71" i="14"/>
  <c r="I55" i="14"/>
  <c r="I56" i="14"/>
  <c r="I57" i="14"/>
  <c r="I58" i="14"/>
  <c r="I59" i="14"/>
  <c r="I60" i="14"/>
  <c r="I62" i="14"/>
  <c r="I63" i="14"/>
  <c r="I65" i="14"/>
  <c r="I66" i="14"/>
  <c r="H55" i="14"/>
  <c r="H56" i="14"/>
  <c r="H57" i="14"/>
  <c r="H58" i="14"/>
  <c r="H59" i="14"/>
  <c r="H60" i="14"/>
  <c r="H62" i="14"/>
  <c r="H63" i="14"/>
  <c r="H65" i="14"/>
  <c r="H66" i="14"/>
  <c r="G55" i="14"/>
  <c r="G56" i="14"/>
  <c r="G57" i="14"/>
  <c r="G58" i="14"/>
  <c r="G59" i="14"/>
  <c r="G60" i="14"/>
  <c r="G62" i="14"/>
  <c r="G63" i="14"/>
  <c r="G65" i="14"/>
  <c r="G66" i="14"/>
  <c r="F55" i="14"/>
  <c r="F56" i="14"/>
  <c r="F57" i="14"/>
  <c r="F58" i="14"/>
  <c r="F59" i="14"/>
  <c r="F60" i="14"/>
  <c r="F62" i="14"/>
  <c r="F63" i="14"/>
  <c r="F65" i="14"/>
  <c r="F66" i="14"/>
  <c r="E55" i="14"/>
  <c r="E56" i="14"/>
  <c r="E57" i="14"/>
  <c r="E58" i="14"/>
  <c r="E59" i="14"/>
  <c r="E60" i="14"/>
  <c r="E62" i="14"/>
  <c r="E63" i="14"/>
  <c r="E65" i="14"/>
  <c r="E66" i="14"/>
  <c r="C66" i="14"/>
  <c r="B66" i="14"/>
  <c r="C65" i="14"/>
  <c r="B65" i="14"/>
  <c r="C63" i="14"/>
  <c r="C62" i="14"/>
  <c r="B62" i="14"/>
  <c r="C60" i="14"/>
  <c r="B60" i="14"/>
  <c r="C59" i="14"/>
  <c r="B59" i="14"/>
  <c r="C58" i="14"/>
  <c r="B58" i="14"/>
  <c r="C57" i="14"/>
  <c r="B57" i="14"/>
  <c r="C56" i="14"/>
  <c r="B56" i="14"/>
  <c r="C55" i="14"/>
  <c r="B55" i="14"/>
  <c r="B47" i="14"/>
  <c r="C47" i="14"/>
  <c r="E47" i="14"/>
  <c r="F47" i="14"/>
  <c r="G47" i="14"/>
  <c r="H47" i="14"/>
  <c r="I47" i="14"/>
  <c r="B48" i="14"/>
  <c r="C48" i="14"/>
  <c r="E48" i="14"/>
  <c r="F48" i="14"/>
  <c r="G48" i="14"/>
  <c r="H48" i="14"/>
  <c r="I48" i="14"/>
  <c r="B49" i="14"/>
  <c r="C49" i="14"/>
  <c r="E49" i="14"/>
  <c r="F49" i="14"/>
  <c r="G49" i="14"/>
  <c r="H49" i="14"/>
  <c r="I49" i="14"/>
  <c r="B50" i="14"/>
  <c r="C50" i="14"/>
  <c r="I40" i="14"/>
  <c r="I41" i="14"/>
  <c r="I42" i="14"/>
  <c r="I43" i="14"/>
  <c r="I44" i="14"/>
  <c r="I45" i="14"/>
  <c r="I46" i="14"/>
  <c r="H40" i="14"/>
  <c r="H41" i="14"/>
  <c r="H42" i="14"/>
  <c r="H43" i="14"/>
  <c r="H44" i="14"/>
  <c r="H45" i="14"/>
  <c r="H46" i="14"/>
  <c r="G40" i="14"/>
  <c r="G41" i="14"/>
  <c r="G42" i="14"/>
  <c r="G43" i="14"/>
  <c r="G44" i="14"/>
  <c r="G45" i="14"/>
  <c r="G46" i="14"/>
  <c r="F40" i="14"/>
  <c r="F41" i="14"/>
  <c r="F42" i="14"/>
  <c r="F43" i="14"/>
  <c r="F44" i="14"/>
  <c r="F45" i="14"/>
  <c r="F46" i="14"/>
  <c r="E40" i="14"/>
  <c r="E41" i="14"/>
  <c r="E42" i="14"/>
  <c r="E43" i="14"/>
  <c r="E44" i="14"/>
  <c r="E45" i="14"/>
  <c r="E46" i="14"/>
  <c r="C46" i="14"/>
  <c r="B46" i="14"/>
  <c r="C45" i="14"/>
  <c r="B45" i="14"/>
  <c r="C44" i="14"/>
  <c r="B44" i="14"/>
  <c r="C43" i="14"/>
  <c r="B43" i="14"/>
  <c r="C42" i="14"/>
  <c r="B42" i="14"/>
  <c r="C41" i="14"/>
  <c r="B41" i="14"/>
  <c r="C40" i="14"/>
  <c r="B40" i="14"/>
  <c r="I30" i="14"/>
  <c r="I31" i="14"/>
  <c r="I33" i="14"/>
  <c r="I34" i="14"/>
  <c r="I35" i="14"/>
  <c r="H30" i="14"/>
  <c r="H31" i="14"/>
  <c r="H33" i="14"/>
  <c r="H34" i="14"/>
  <c r="H35" i="14"/>
  <c r="G30" i="14"/>
  <c r="G31" i="14"/>
  <c r="G33" i="14"/>
  <c r="G34" i="14"/>
  <c r="G35" i="14"/>
  <c r="G36" i="14"/>
  <c r="F30" i="14"/>
  <c r="F31" i="14"/>
  <c r="F33" i="14"/>
  <c r="F34" i="14"/>
  <c r="F35" i="14"/>
  <c r="E30" i="14"/>
  <c r="E31" i="14"/>
  <c r="E33" i="14"/>
  <c r="E34" i="14"/>
  <c r="E35" i="14"/>
  <c r="C35" i="14"/>
  <c r="B35" i="14"/>
  <c r="C34" i="14"/>
  <c r="B34" i="14"/>
  <c r="C33" i="14"/>
  <c r="B33" i="14"/>
  <c r="C31" i="14"/>
  <c r="B31" i="14"/>
  <c r="C30" i="14"/>
  <c r="B30" i="14"/>
  <c r="I21" i="14"/>
  <c r="I22" i="14"/>
  <c r="I23" i="14"/>
  <c r="I24" i="14"/>
  <c r="I25" i="14"/>
  <c r="H21" i="14"/>
  <c r="H22" i="14"/>
  <c r="H23" i="14"/>
  <c r="H24" i="14"/>
  <c r="H25" i="14"/>
  <c r="G21" i="14"/>
  <c r="G22" i="14"/>
  <c r="G23" i="14"/>
  <c r="G24" i="14"/>
  <c r="G25" i="14"/>
  <c r="F21" i="14"/>
  <c r="F22" i="14"/>
  <c r="F23" i="14"/>
  <c r="F24" i="14"/>
  <c r="F25" i="14"/>
  <c r="E21" i="14"/>
  <c r="E22" i="14"/>
  <c r="E23" i="14"/>
  <c r="E24" i="14"/>
  <c r="E25" i="14"/>
  <c r="C25" i="14"/>
  <c r="B25" i="14"/>
  <c r="C24" i="14"/>
  <c r="B24" i="14"/>
  <c r="C23" i="14"/>
  <c r="B23" i="14"/>
  <c r="C22" i="14"/>
  <c r="B22" i="14"/>
  <c r="C21" i="14"/>
  <c r="B21" i="14"/>
  <c r="E14" i="14"/>
  <c r="E15" i="14"/>
  <c r="E16" i="14"/>
  <c r="F14" i="14"/>
  <c r="F15" i="14"/>
  <c r="F16" i="14"/>
  <c r="G14" i="14"/>
  <c r="G15" i="14"/>
  <c r="G16" i="14"/>
  <c r="H14" i="14"/>
  <c r="H15" i="14"/>
  <c r="H16" i="14"/>
  <c r="I14" i="14"/>
  <c r="I15" i="14"/>
  <c r="I16" i="14"/>
  <c r="B15" i="14"/>
  <c r="C15" i="14"/>
  <c r="B16" i="14"/>
  <c r="C16" i="14"/>
  <c r="C14" i="14"/>
  <c r="B14" i="14"/>
  <c r="E3" i="14"/>
  <c r="E4" i="14"/>
  <c r="E5" i="14"/>
  <c r="E6" i="14"/>
  <c r="E7" i="14"/>
  <c r="E8" i="14"/>
  <c r="E9" i="14"/>
  <c r="F3" i="14"/>
  <c r="F4" i="14"/>
  <c r="F5" i="14"/>
  <c r="F6" i="14"/>
  <c r="F7" i="14"/>
  <c r="F8" i="14"/>
  <c r="F9" i="14"/>
  <c r="F10" i="14"/>
  <c r="G3" i="14"/>
  <c r="G4" i="14"/>
  <c r="G5" i="14"/>
  <c r="G6" i="14"/>
  <c r="G7" i="14"/>
  <c r="G8" i="14"/>
  <c r="G9" i="14"/>
  <c r="H3" i="14"/>
  <c r="H4" i="14"/>
  <c r="H5" i="14"/>
  <c r="H6" i="14"/>
  <c r="H7" i="14"/>
  <c r="H8" i="14"/>
  <c r="H9" i="14"/>
  <c r="H10" i="14"/>
  <c r="I3" i="14"/>
  <c r="I4" i="14"/>
  <c r="I5" i="14"/>
  <c r="I6" i="14"/>
  <c r="I7" i="14"/>
  <c r="I8" i="14"/>
  <c r="I9" i="14"/>
  <c r="B4" i="14"/>
  <c r="C4" i="14"/>
  <c r="B5" i="14"/>
  <c r="C5" i="14"/>
  <c r="B6" i="14"/>
  <c r="C6" i="14"/>
  <c r="B7" i="14"/>
  <c r="C7" i="14"/>
  <c r="B8" i="14"/>
  <c r="C8" i="14"/>
  <c r="B9" i="14"/>
  <c r="C9" i="14"/>
  <c r="C3" i="14"/>
  <c r="B3" i="14"/>
  <c r="AT5" i="5"/>
  <c r="AT6" i="5"/>
  <c r="AT7" i="5"/>
  <c r="AT8" i="5"/>
  <c r="AT9" i="5"/>
  <c r="AT10" i="5"/>
  <c r="AT11" i="5"/>
  <c r="AT16" i="5"/>
  <c r="AT17" i="5"/>
  <c r="AT18" i="5"/>
  <c r="AT20" i="5"/>
  <c r="AT21" i="5"/>
  <c r="AT22" i="5"/>
  <c r="AT27" i="5"/>
  <c r="AT28" i="5"/>
  <c r="AT32" i="5"/>
  <c r="AT33" i="5"/>
  <c r="AT34" i="5"/>
  <c r="AT35" i="5"/>
  <c r="AT36" i="5"/>
  <c r="AT37" i="5"/>
  <c r="AT39" i="5"/>
  <c r="AT43" i="5"/>
  <c r="AT75" i="5"/>
  <c r="AT76" i="5"/>
  <c r="AT77" i="5"/>
  <c r="AT78" i="5"/>
  <c r="AT79" i="5"/>
  <c r="AT80" i="5"/>
  <c r="AT88" i="5"/>
  <c r="AT89" i="5"/>
  <c r="AT91" i="5"/>
  <c r="AT92" i="5"/>
  <c r="AT97" i="5"/>
  <c r="AT99" i="5"/>
  <c r="K96" i="13"/>
  <c r="J96" i="13"/>
  <c r="I96" i="13"/>
  <c r="H96" i="13"/>
  <c r="G96" i="13"/>
  <c r="F96" i="13"/>
  <c r="F85" i="13"/>
  <c r="K85" i="13"/>
  <c r="J85" i="13"/>
  <c r="J98" i="13"/>
  <c r="I85" i="13"/>
  <c r="H85" i="13"/>
  <c r="G85" i="13"/>
  <c r="G75" i="13"/>
  <c r="H75" i="13"/>
  <c r="I75" i="13"/>
  <c r="J75" i="13"/>
  <c r="K75" i="13"/>
  <c r="F75" i="13"/>
  <c r="G64" i="13"/>
  <c r="H64" i="13"/>
  <c r="I64" i="13"/>
  <c r="J64" i="13"/>
  <c r="K64" i="13"/>
  <c r="F64" i="13"/>
  <c r="AT45" i="5"/>
  <c r="AT49" i="5"/>
  <c r="AT50" i="5"/>
  <c r="AT51" i="5"/>
  <c r="AT55" i="5"/>
  <c r="AT57" i="5"/>
  <c r="AT59" i="5"/>
  <c r="AT62" i="5"/>
  <c r="AT64" i="5"/>
  <c r="AT67" i="5"/>
  <c r="M95" i="13"/>
  <c r="N95" i="13"/>
  <c r="M84" i="13"/>
  <c r="N84" i="13"/>
  <c r="E73" i="13"/>
  <c r="M73" i="13"/>
  <c r="N73" i="13"/>
  <c r="C89" i="13"/>
  <c r="B90" i="13"/>
  <c r="C90" i="13"/>
  <c r="B91" i="13"/>
  <c r="C91" i="13"/>
  <c r="B92" i="13"/>
  <c r="C92" i="13"/>
  <c r="B93" i="13"/>
  <c r="C93" i="13"/>
  <c r="B94" i="13"/>
  <c r="C94" i="13"/>
  <c r="B95" i="13"/>
  <c r="C95" i="13"/>
  <c r="C78" i="13"/>
  <c r="B79" i="13"/>
  <c r="C79" i="13"/>
  <c r="B80" i="13"/>
  <c r="C80" i="13"/>
  <c r="B81" i="13"/>
  <c r="C81" i="13"/>
  <c r="B82" i="13"/>
  <c r="C82" i="13"/>
  <c r="B83" i="13"/>
  <c r="C83" i="13"/>
  <c r="B84" i="13"/>
  <c r="C84" i="13"/>
  <c r="C57" i="13"/>
  <c r="B58" i="13"/>
  <c r="C58" i="13"/>
  <c r="B59" i="13"/>
  <c r="C59" i="13"/>
  <c r="B60" i="13"/>
  <c r="C60" i="13"/>
  <c r="B61" i="13"/>
  <c r="C61" i="13"/>
  <c r="B62" i="13"/>
  <c r="C62" i="13"/>
  <c r="B63" i="13"/>
  <c r="C63" i="13"/>
  <c r="M24" i="13"/>
  <c r="M26" i="13"/>
  <c r="B42" i="13"/>
  <c r="D42" i="13"/>
  <c r="B41" i="13"/>
  <c r="D41" i="13"/>
  <c r="D40" i="13"/>
  <c r="M43" i="13"/>
  <c r="M12" i="13"/>
  <c r="AM125" i="5"/>
  <c r="BK125" i="5"/>
  <c r="BI125" i="5"/>
  <c r="BF125" i="5"/>
  <c r="BE125" i="5"/>
  <c r="BB125" i="5"/>
  <c r="BA125" i="5"/>
  <c r="AQ125" i="5"/>
  <c r="AO125" i="5"/>
  <c r="AL125" i="5"/>
  <c r="AK125" i="5"/>
  <c r="AJ125" i="5"/>
  <c r="AC125" i="5"/>
  <c r="U125" i="5"/>
  <c r="T125" i="5"/>
  <c r="M125" i="5"/>
  <c r="N125" i="5"/>
  <c r="O125" i="5"/>
  <c r="P125" i="5"/>
  <c r="Q125" i="5"/>
  <c r="L125" i="5"/>
  <c r="AT95" i="5"/>
  <c r="AT94" i="5"/>
  <c r="AT82" i="5"/>
  <c r="AT70" i="5"/>
  <c r="AT69" i="5"/>
  <c r="AT65" i="5"/>
  <c r="AT60" i="5"/>
  <c r="AT58" i="5"/>
  <c r="AT48" i="5"/>
  <c r="AT44" i="5"/>
  <c r="AT40" i="5"/>
  <c r="H43" i="13"/>
  <c r="H49" i="13"/>
  <c r="I49" i="13"/>
  <c r="J43" i="13"/>
  <c r="J49" i="13"/>
  <c r="K43" i="13"/>
  <c r="K49" i="13"/>
  <c r="G43" i="13"/>
  <c r="G49" i="13"/>
  <c r="H26" i="13"/>
  <c r="H48" i="13"/>
  <c r="I26" i="13"/>
  <c r="I48" i="13"/>
  <c r="J26" i="13"/>
  <c r="J48" i="13"/>
  <c r="K26" i="13"/>
  <c r="K48" i="13"/>
  <c r="G26" i="13"/>
  <c r="G48" i="13"/>
  <c r="H12" i="13"/>
  <c r="H47" i="13"/>
  <c r="I12" i="13"/>
  <c r="I47" i="13"/>
  <c r="J12" i="13"/>
  <c r="J47" i="13"/>
  <c r="K12" i="13"/>
  <c r="K47" i="13"/>
  <c r="G12" i="13"/>
  <c r="G47" i="13"/>
  <c r="D39" i="13"/>
  <c r="D38" i="13"/>
  <c r="D37" i="13"/>
  <c r="D36" i="13"/>
  <c r="D35" i="13"/>
  <c r="D34" i="13"/>
  <c r="D33" i="13"/>
  <c r="D32" i="13"/>
  <c r="D31" i="13"/>
  <c r="D25" i="13"/>
  <c r="D24" i="13"/>
  <c r="D23" i="13"/>
  <c r="D22" i="13"/>
  <c r="D21" i="13"/>
  <c r="D20" i="13"/>
  <c r="D19" i="13"/>
  <c r="D18" i="13"/>
  <c r="D17" i="13"/>
  <c r="D5" i="13"/>
  <c r="D6" i="13"/>
  <c r="D7" i="13"/>
  <c r="D8" i="13"/>
  <c r="D9" i="13"/>
  <c r="D10" i="13"/>
  <c r="D11" i="13"/>
  <c r="D4" i="13"/>
  <c r="D12" i="13"/>
  <c r="D47" i="13"/>
  <c r="C67" i="13"/>
  <c r="B68" i="13"/>
  <c r="C68" i="13"/>
  <c r="B69" i="13"/>
  <c r="C69" i="13"/>
  <c r="B70" i="13"/>
  <c r="C70" i="13"/>
  <c r="B71" i="13"/>
  <c r="C71" i="13"/>
  <c r="B72" i="13"/>
  <c r="C72" i="13"/>
  <c r="B73" i="13"/>
  <c r="C73" i="13"/>
  <c r="B74" i="13"/>
  <c r="C74" i="13"/>
  <c r="H50" i="13"/>
  <c r="G50" i="13"/>
  <c r="F98" i="13"/>
  <c r="I98" i="13"/>
  <c r="D43" i="13"/>
  <c r="D49" i="13"/>
  <c r="H98" i="13"/>
  <c r="G98" i="13"/>
  <c r="K50" i="13"/>
  <c r="I50" i="13"/>
  <c r="D26" i="13"/>
  <c r="D48" i="13"/>
  <c r="J50" i="13"/>
  <c r="K98" i="13"/>
  <c r="AT125" i="5"/>
  <c r="F36" i="8"/>
  <c r="L122" i="5"/>
  <c r="L120" i="5"/>
  <c r="H305" i="14"/>
  <c r="H338" i="14"/>
  <c r="H383" i="14"/>
  <c r="H360" i="14"/>
  <c r="H390" i="14"/>
  <c r="H36" i="14"/>
  <c r="H294" i="14"/>
  <c r="H148" i="14"/>
  <c r="H273" i="14"/>
  <c r="H400" i="14"/>
  <c r="H240" i="14"/>
  <c r="H159" i="14"/>
  <c r="H17" i="14"/>
  <c r="H207" i="14"/>
  <c r="H111" i="14"/>
  <c r="H26" i="14"/>
  <c r="H189" i="14"/>
  <c r="H220" i="14"/>
  <c r="H319" i="14"/>
  <c r="H51" i="14"/>
  <c r="H67" i="14"/>
  <c r="H91" i="14"/>
  <c r="H133" i="14"/>
  <c r="I255" i="14"/>
  <c r="I273" i="14"/>
  <c r="I360" i="14"/>
  <c r="J36" i="7"/>
  <c r="I111" i="14"/>
  <c r="I207" i="14"/>
  <c r="I220" i="14"/>
  <c r="I91" i="14"/>
  <c r="I189" i="14"/>
  <c r="I319" i="14"/>
  <c r="I305" i="14"/>
  <c r="Q122" i="5"/>
  <c r="I383" i="14"/>
  <c r="I17" i="14"/>
  <c r="I36" i="14"/>
  <c r="I51" i="14"/>
  <c r="I10" i="14"/>
  <c r="I133" i="14"/>
  <c r="I338" i="14"/>
  <c r="I410" i="14"/>
  <c r="I421" i="14"/>
  <c r="I400" i="14"/>
  <c r="I148" i="14"/>
  <c r="I294" i="14"/>
  <c r="I240" i="14"/>
  <c r="I67" i="14"/>
  <c r="I26" i="14"/>
  <c r="G10" i="14"/>
  <c r="H36" i="7"/>
  <c r="G91" i="14"/>
  <c r="G67" i="14"/>
  <c r="G189" i="14"/>
  <c r="G338" i="14"/>
  <c r="G421" i="14"/>
  <c r="G220" i="14"/>
  <c r="G370" i="14"/>
  <c r="G319" i="14"/>
  <c r="G26" i="14"/>
  <c r="G51" i="14"/>
  <c r="G305" i="14"/>
  <c r="G360" i="14"/>
  <c r="G294" i="14"/>
  <c r="G383" i="14"/>
  <c r="G148" i="14"/>
  <c r="G207" i="14"/>
  <c r="G17" i="14"/>
  <c r="G133" i="14"/>
  <c r="G159" i="14"/>
  <c r="G240" i="14"/>
  <c r="G273" i="14"/>
  <c r="G174" i="14"/>
  <c r="F305" i="14"/>
  <c r="F407" i="14"/>
  <c r="F111" i="14"/>
  <c r="F174" i="14"/>
  <c r="F248" i="14"/>
  <c r="F400" i="14"/>
  <c r="F36" i="14"/>
  <c r="F421" i="14"/>
  <c r="F67" i="14"/>
  <c r="F255" i="14"/>
  <c r="F189" i="14"/>
  <c r="F284" i="14"/>
  <c r="F159" i="14"/>
  <c r="F220" i="14"/>
  <c r="G36" i="7"/>
  <c r="N120" i="5"/>
  <c r="F91" i="14"/>
  <c r="F360" i="14"/>
  <c r="F51" i="14"/>
  <c r="F338" i="14"/>
  <c r="F17" i="14"/>
  <c r="F294" i="14"/>
  <c r="F207" i="14"/>
  <c r="F26" i="14"/>
  <c r="F148" i="14"/>
  <c r="F319" i="14"/>
  <c r="F133" i="14"/>
  <c r="F236" i="14"/>
  <c r="F240" i="14"/>
  <c r="F265" i="14"/>
  <c r="F273" i="14"/>
  <c r="E220" i="14"/>
  <c r="F36" i="7"/>
  <c r="E10" i="14"/>
  <c r="E174" i="14"/>
  <c r="E51" i="14"/>
  <c r="F37" i="7"/>
  <c r="M120" i="5"/>
  <c r="E294" i="14"/>
  <c r="E207" i="14"/>
  <c r="E406" i="14"/>
  <c r="E148" i="14"/>
  <c r="E230" i="14"/>
  <c r="E319" i="14"/>
  <c r="E421" i="14"/>
  <c r="E111" i="14"/>
  <c r="E26" i="14"/>
  <c r="E273" i="14"/>
  <c r="E235" i="14"/>
  <c r="E240" i="14"/>
  <c r="E305" i="14"/>
  <c r="E383" i="14"/>
  <c r="E255" i="14"/>
  <c r="E17" i="14"/>
  <c r="E67" i="14"/>
  <c r="E360" i="14"/>
  <c r="E400" i="14"/>
  <c r="G36" i="8"/>
  <c r="E36" i="14"/>
  <c r="E159" i="14"/>
  <c r="E189" i="14"/>
  <c r="E338" i="14"/>
  <c r="E133" i="14"/>
  <c r="Q120" i="5"/>
  <c r="J37" i="7"/>
  <c r="J36" i="8"/>
  <c r="P122" i="5"/>
  <c r="I9" i="7"/>
  <c r="I36" i="7"/>
  <c r="O120" i="5"/>
  <c r="H37" i="7"/>
  <c r="I36" i="8"/>
  <c r="O122" i="5"/>
  <c r="N122" i="5"/>
  <c r="H36" i="8"/>
  <c r="F383" i="14"/>
  <c r="K36" i="8"/>
  <c r="G37" i="7"/>
  <c r="M122" i="5"/>
  <c r="P120" i="5"/>
  <c r="I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Sidney Innerebner</author>
  </authors>
  <commentList>
    <comment ref="C22" authorId="0" shapeId="0" xr:uid="{78E055EB-7E0C-45A0-B0C7-071607D020A9}">
      <text>
        <r>
          <rPr>
            <b/>
            <sz val="9"/>
            <color indexed="81"/>
            <rFont val="Tahoma"/>
            <family val="2"/>
          </rPr>
          <t>Sidney Innerebner:</t>
        </r>
        <r>
          <rPr>
            <sz val="9"/>
            <color indexed="81"/>
            <rFont val="Tahoma"/>
            <family val="2"/>
          </rPr>
          <t xml:space="preserve">
Change name to AC and DC Motors for 2025</t>
        </r>
      </text>
    </comment>
  </commentList>
</comments>
</file>

<file path=xl/sharedStrings.xml><?xml version="1.0" encoding="utf-8"?>
<sst xmlns="http://schemas.openxmlformats.org/spreadsheetml/2006/main" count="4941" uniqueCount="2149">
  <si>
    <t>Pumps</t>
  </si>
  <si>
    <t>Lift Stations</t>
  </si>
  <si>
    <t>Chlorine Disinfection</t>
  </si>
  <si>
    <t>Corrosion Control</t>
  </si>
  <si>
    <t>Activated Sludge Basics</t>
  </si>
  <si>
    <t>What's In My Wastewater: Definitions and Typical Ratios</t>
  </si>
  <si>
    <t>Types of Activated Sludge Systems</t>
  </si>
  <si>
    <t>Activated Sludge Process Control Tests and Troubleshooting</t>
  </si>
  <si>
    <t>Nitrification and Denitrification</t>
  </si>
  <si>
    <t>Biological and Chemical Phosphorus Removal</t>
  </si>
  <si>
    <t>Aerobic and Anaerobic Digestion</t>
  </si>
  <si>
    <t>Belt Filter Presses</t>
  </si>
  <si>
    <t>Introduction to Solids Handling and 503 Regulations</t>
  </si>
  <si>
    <t>Pretreatment and Pollution Prevention</t>
  </si>
  <si>
    <t>Introduction to Collections Systems</t>
  </si>
  <si>
    <t>Introduction to Wastewater:  A Plant Overview</t>
  </si>
  <si>
    <t>Collection System Inspection, Testing, and Cleaning - Part 1</t>
  </si>
  <si>
    <t>Collection System Inspection, Testing, and Cleaning - Part 2</t>
  </si>
  <si>
    <t>Confined Space Entry</t>
  </si>
  <si>
    <t>Odor Control</t>
  </si>
  <si>
    <t>Trenching and Shoring</t>
  </si>
  <si>
    <t>Basic Chemistry</t>
  </si>
  <si>
    <t>W</t>
  </si>
  <si>
    <t>WW</t>
  </si>
  <si>
    <t>C</t>
  </si>
  <si>
    <t>D</t>
  </si>
  <si>
    <t>I</t>
  </si>
  <si>
    <t>This presentation covers the method of operation for lagoons and various natural treatment processes. Basic design principals are discussed for lagoons as well as biological processes taking place in aerobic, facultative, and anaerobic ponds. Typical operating ranges for each system type including hydraulic and organic loading rates are presented.  Troubleshooting is discussed and relationships between operating variables.</t>
  </si>
  <si>
    <t>This course is devoted to operation and maintenance of belt filter presses.  It begins with a thorough discussion of belt filter press theory followed by a close examination of the components of the press itself.  The second half of the course is devoted to process control calculations specific to belt filter presses followed by a section on troubleshooting.</t>
  </si>
  <si>
    <t>This course is devoted to operation and maintenance of centrifuges.  It begins with a thorough discussion of centrifugal dewatering theory followed by a close examination of the equipment components.  The second half of the course is devoted to process control calculations and adjustments specific to centrifuges followed by a section on troubleshooting.</t>
  </si>
  <si>
    <t>This class presents an overview of the collection system and discusses its primary components and types.  Placement of interceptors along natural drainages, manhole placement, pump station function, and inflow and infiltration are discussed.  Collection system architecture is compared to distribution system architecture.  The following topics are also covered:  minimum slopes for given pipe diameters, preferred d/D ratios, scour at peak hour flows, pipe materials, velocities in force mains, hydraulic gradeline, and causes of surcharging.</t>
  </si>
  <si>
    <t>This course discusses the industrial pretreatment and pollution prevention programs. It focuses on how effluent limits for indirect dischargers are determined. The impact of various types of discharges on the collection system, especially FOG, will be discussed. Topics to be covered include: legal authority and the sewer ordinance, setting local limits, categorical limits, types of users connecting to the collection system, and pollution prevention at the source. The pollution prevention portion of the course focusses on how industrial users can decrease water usage and wastewater strength by implementing simple changes on the factory floor. The use of screens, water audits, and other methods is discussed.</t>
  </si>
  <si>
    <t>This course is meant as an introduction to metals precipitation chemistry, pH control, cyanide chemistry.  Learn industrial chemistry used to remove heavy metals and cyanide from different waste streams prior to discharge.  How low can you go?</t>
  </si>
  <si>
    <t>Math Modules</t>
  </si>
  <si>
    <t>Unit Conversions</t>
  </si>
  <si>
    <t>Geometry</t>
  </si>
  <si>
    <t>Chemical Dosing</t>
  </si>
  <si>
    <t>Universal Topics</t>
  </si>
  <si>
    <t>Hydraulics Basics</t>
  </si>
  <si>
    <t>Collection Systems Topics</t>
  </si>
  <si>
    <t>Wastewater Treatment Topics</t>
  </si>
  <si>
    <t>Fixed Film: Trickling Filters and RBCs</t>
  </si>
  <si>
    <t>Activated Sludge Basics: A Mechanical Approach</t>
  </si>
  <si>
    <t>This course introduces participants to the basics of activated sludge. It presents fundamental concepts such as space loading, F:M ratio, MCRT, SRT, solids loading and flux to the secondary clarifier, and surface overflow rate. We focus on how each of these variables is interrelated and how changing one necessarily changes the others. Typical ranges for conventional and extended aeration activated sludge plants are compared.  This class also looks at an introduction to microbiology, filaments, conditions for filamentous growth, and control.</t>
  </si>
  <si>
    <t>Introduction to Small Water Systems</t>
  </si>
  <si>
    <t>Water Sources Part 1</t>
  </si>
  <si>
    <t>Water Sources Part 2</t>
  </si>
  <si>
    <t>Corrosion Control and Laboratory</t>
  </si>
  <si>
    <t>Electrical Fundamentals</t>
  </si>
  <si>
    <t>This is part 1 of a series of on-line training classes taught from ACRP's book "Introduction to Small Water Systems".  This brief introduction explores the following topics:  properties of water, distribution of water on planet earth, the hydrologic cycle, uses of water, basic types of water systems, a history of water treatment and distribution, classification of water systems, and definitions of typical small water system types.</t>
  </si>
  <si>
    <t>This presentation walks attendees through completion of a sample DMR from a fictional facility.  Calculations are done in accordance with the DMR Guidance Document published by the State WQCD in January 2014.  Terminology and proper units are discussed.</t>
  </si>
  <si>
    <t>MATH-001</t>
  </si>
  <si>
    <t>MATH-002</t>
  </si>
  <si>
    <t>ALL-001</t>
  </si>
  <si>
    <t>ALL-002</t>
  </si>
  <si>
    <t>ALL-003</t>
  </si>
  <si>
    <t>ALL-004</t>
  </si>
  <si>
    <t>ALL-005</t>
  </si>
  <si>
    <t>COL-001</t>
  </si>
  <si>
    <t>COL-002</t>
  </si>
  <si>
    <t>COL-003</t>
  </si>
  <si>
    <t>COL-004</t>
  </si>
  <si>
    <t>COL-005</t>
  </si>
  <si>
    <t>SAF-001</t>
  </si>
  <si>
    <t>SAF-002</t>
  </si>
  <si>
    <t>WWT-001</t>
  </si>
  <si>
    <t>WWT-003</t>
  </si>
  <si>
    <t>WWT-004</t>
  </si>
  <si>
    <t>WWT-005</t>
  </si>
  <si>
    <t>WWT-006</t>
  </si>
  <si>
    <t>WWT-007</t>
  </si>
  <si>
    <t>WWT-008</t>
  </si>
  <si>
    <t>WWT-009</t>
  </si>
  <si>
    <t>WWT-010</t>
  </si>
  <si>
    <t>WWT-011</t>
  </si>
  <si>
    <t>WWT-013</t>
  </si>
  <si>
    <t>WWT-014</t>
  </si>
  <si>
    <t>WWT-015</t>
  </si>
  <si>
    <t>WWT-016</t>
  </si>
  <si>
    <t>WWT-017</t>
  </si>
  <si>
    <t>WWT-018</t>
  </si>
  <si>
    <t>WWT-019</t>
  </si>
  <si>
    <t>WWT-020</t>
  </si>
  <si>
    <t>WWT-021</t>
  </si>
  <si>
    <t>WWT-022</t>
  </si>
  <si>
    <t>WWT-023</t>
  </si>
  <si>
    <t>WWT-024</t>
  </si>
  <si>
    <t>WWT-025</t>
  </si>
  <si>
    <t>WWT-027</t>
  </si>
  <si>
    <t>WWT-028</t>
  </si>
  <si>
    <t>WATER-001</t>
  </si>
  <si>
    <t>WATER-002</t>
  </si>
  <si>
    <t>WATER-003</t>
  </si>
  <si>
    <t>WATER-004</t>
  </si>
  <si>
    <t>WATER-005</t>
  </si>
  <si>
    <t>WATER-006</t>
  </si>
  <si>
    <t>WATER-007</t>
  </si>
  <si>
    <t>WATER-008</t>
  </si>
  <si>
    <t>Implementing a focused maintenance program that includes predictive and preventive maintenance strategies is critical for maintaining water and wastewater infrastructure.  This course will walk participants through how to set up a good maintenance program from tracking spare parts to proving effectiveness.</t>
  </si>
  <si>
    <t>This course (in 2 parts) introduces participants to the purposes and methods of collection system inspection, testing, and cleaning including: closed circuit television inspections, smoke testing, dye testing, sewer balling, jetting, rodding, flushing, and bucketmachines.  The importance of maintaining good system records and maps of the collection system is emphasized.  Collection system modeling and GIS concepts are introduced as they relate to maintenance records.  Participants will learn to identify problems in existing pipelines, locate storm sewer connections to the sanitary sewer, estimate inflow and infiltration, and identify deposits of oil and grease.  Participants will view actual CCTV footage.</t>
  </si>
  <si>
    <t>This presentation introduces operators to wastewater treatment starting with a "typical" treatment plant consisting of preliminary, primary, secondary, and tertiary treatment followed by disinfection.  Alternatives for each unit process will be discussed such as activated sludge or lagoons or trickling filters for the secondary process.  Solids handling, thickening, digestion, and dewatering will be introduced and the importance of recycle streams emphasized.</t>
  </si>
  <si>
    <t>Domestic wastewater is fairly consistent in composition from treatment plant to treatment plant.  Unless there are large industrial contributions, domestic wastewater can be expected to adhere to some basic principles.  For example, influent BOD should be between 80 and 120% of the influent TSS.  Influent TKN should be around 10 or 20 percent of the influent BOD.  We'll look at why these ratios hold true and how they can be used to determine if laboratory data is internally consistent.  Knowing typical wastewater characteristics can be extraordinarily helpful in determining whether sample results are representative. Look at your lab data in a whole new light!</t>
  </si>
  <si>
    <t>This course is an introduction to biological and chemical phosphorus removal.  Attendees will learn about the organisms responsible for biological phosphorus removal, the importance of cycling between anaerobic and anoxic/aerobic conditions, the benefits of biological phosphorus removal, and a brief introduction to chemical removal methods.</t>
  </si>
  <si>
    <t>This wastewater-focused presentation walks the participant through chlorine chemistry, the different forms of chlorine available for disinfection, and chlorine safety. This class devotes time to the safe handling of gaseous and liquid chlorine and reporting requirements under SARA Title III. The class covers recommended doses and contact times for various applications as well as the impact of water chemistry and temperature on disinfection.</t>
  </si>
  <si>
    <t>Participants will be given an overview of the Biosolids 503 Regulations and their Colorado equivalent including sample calculations for land application.  The purpose of solids stabilization and management is emphasized both from a public health perspective and reducing overall operating and disposal costs.</t>
  </si>
  <si>
    <t>Representative Sampling</t>
  </si>
  <si>
    <t>Disinfection Byproducts</t>
  </si>
  <si>
    <t>This presentation will define disinfection byproducts and discuss the regulations on their levels in drinking water and recycled water. We will look at what causes the formation of DBPs and ways to prevent their formation. Applicable to both water and wastewater systems.</t>
  </si>
  <si>
    <t>ALL-007</t>
  </si>
  <si>
    <t>ALL-008</t>
  </si>
  <si>
    <t>OEPA-S576553-OM</t>
  </si>
  <si>
    <t>OEPA-S579874-OM</t>
  </si>
  <si>
    <t>OEPA-S579875-OM</t>
  </si>
  <si>
    <t>OEPA-S579873-OM</t>
  </si>
  <si>
    <t>OEPA-S579844-OM</t>
  </si>
  <si>
    <t>OEPA-B576552-OM</t>
  </si>
  <si>
    <t>OEPA-B579845-OM</t>
  </si>
  <si>
    <t>OEPA-S579876-OM</t>
  </si>
  <si>
    <t>OEPA-S579846-OM</t>
  </si>
  <si>
    <t>OEPA-B579858-OM</t>
  </si>
  <si>
    <t>OEPA-B579840-OM</t>
  </si>
  <si>
    <t>OEPA-S579863-OM</t>
  </si>
  <si>
    <t>OEPA-S579864-OM</t>
  </si>
  <si>
    <t>OEPA-B579842-X</t>
  </si>
  <si>
    <t>OEPA-B579856-OM</t>
  </si>
  <si>
    <t>OEPA-B580289-OM</t>
  </si>
  <si>
    <t>OEPA-S581512-OM</t>
  </si>
  <si>
    <t>OEPA-B579859-OM</t>
  </si>
  <si>
    <t>OEPA-B581457-OM</t>
  </si>
  <si>
    <t>OEPA-B579855-OM</t>
  </si>
  <si>
    <t>OEPA-S579861-OM</t>
  </si>
  <si>
    <t>OEPA-B579843-OM</t>
  </si>
  <si>
    <t>OEPA-S579867-OM</t>
  </si>
  <si>
    <t>OEPA-B579848-OM</t>
  </si>
  <si>
    <t>OEPA-S581445-OM</t>
  </si>
  <si>
    <t>OEPA-S579870-OM</t>
  </si>
  <si>
    <t>OEPA-S579869-OM</t>
  </si>
  <si>
    <t>OEPA-S579862-OM</t>
  </si>
  <si>
    <t>OEPA-B581464-OM</t>
  </si>
  <si>
    <t>OEPA-S579877-OM</t>
  </si>
  <si>
    <t>OEPA-S579851-OM</t>
  </si>
  <si>
    <t>OEPA-S579866-OM</t>
  </si>
  <si>
    <t>OEPA-B579847-OM</t>
  </si>
  <si>
    <t>OEPA-B581454-OM</t>
  </si>
  <si>
    <t>OEPA-B580290-OM</t>
  </si>
  <si>
    <t>OEPA-S579872-OM</t>
  </si>
  <si>
    <t>OEPA-B579857-X</t>
  </si>
  <si>
    <t>OEPA-S579878-OM</t>
  </si>
  <si>
    <t>OEPA-B579860-OM</t>
  </si>
  <si>
    <t>OEPA-S579868-OM</t>
  </si>
  <si>
    <t>Both DW and WW</t>
  </si>
  <si>
    <t>Maintenance</t>
  </si>
  <si>
    <t>Lagoons and Wetlands</t>
  </si>
  <si>
    <t>Lagoons and Fixed Film</t>
  </si>
  <si>
    <t>State Point Analysis for Secondary Clarifiers</t>
  </si>
  <si>
    <t>Centrifuges</t>
  </si>
  <si>
    <t>Treatment of Metal Wastestreams</t>
  </si>
  <si>
    <t>Course Title</t>
  </si>
  <si>
    <t>WW Only</t>
  </si>
  <si>
    <t>OEPA-B579850-OM</t>
  </si>
  <si>
    <t>OEPA-S579852-OM</t>
  </si>
  <si>
    <t>OEPA-S579871-OM</t>
  </si>
  <si>
    <t>Not approved.</t>
  </si>
  <si>
    <t>Not yet approved.</t>
  </si>
  <si>
    <t>WWT-029</t>
  </si>
  <si>
    <t>Discharge permit limits and sampling requirements are often a source of mystery to treatment plant operators and many feel the State is arbitrary in deciding which limits apply to which facility.  This feeling is exacerbated when operators compare permits to nearby facilities and discover that permit limits and requirements can be quite different for facilities that are only a mile or two apart.  This presentation walks through the regulations used to set discharge permit limits, discusses the reasons for different limits, low flow calculations, mass balances in the stream, designated uses, and some of the State policies used when writing a permit.  After watching this presentation, an operator should be able to trace the source and rational for each limit in their discharge permit.</t>
  </si>
  <si>
    <t>Water Treatment &amp; Distribution Topics</t>
  </si>
  <si>
    <t>Manholes</t>
  </si>
  <si>
    <t>Manholes provide access points for maintenance, flow monitoring, chemical addition, bypass pumping and more.  Even a small municipality will have several hundred manholes spaced at a maximum of 300 to 500 foot apart.  Like most of the public, we don't give them much thought even though they are critical parts of our collection systems.  Manhole basics includes typical terminology, manhole construction, manhole inspection and maintenance, and even includes some handy tips on how to find lost manholes and preventing manholes from getting lost in the first place.  Useful information for anyone pursuing their collection systems certification.</t>
  </si>
  <si>
    <t>COL-006</t>
  </si>
  <si>
    <t>Utah Approval</t>
  </si>
  <si>
    <t>Washington State CEUs</t>
  </si>
  <si>
    <t>Not Approved.</t>
  </si>
  <si>
    <t>Not Approved</t>
  </si>
  <si>
    <t>MATH-000</t>
  </si>
  <si>
    <t>OEPA-S88119931-OM</t>
  </si>
  <si>
    <t>All Operators</t>
  </si>
  <si>
    <t>5962-16-07 NP</t>
  </si>
  <si>
    <t>WW; 3, 5 All IWW; 5</t>
  </si>
  <si>
    <t>5976-16-11</t>
  </si>
  <si>
    <t>5977-16-11</t>
  </si>
  <si>
    <t>All Operators &amp; All Superintendents</t>
  </si>
  <si>
    <t>Non-Process</t>
  </si>
  <si>
    <t>5979-16-11</t>
  </si>
  <si>
    <t>5980-16-11</t>
  </si>
  <si>
    <t>5981-16-11</t>
  </si>
  <si>
    <t>Process</t>
  </si>
  <si>
    <t>5982-16-11</t>
  </si>
  <si>
    <t>5983-16-11</t>
  </si>
  <si>
    <t>5984-16-11</t>
  </si>
  <si>
    <t>5985-16-11</t>
  </si>
  <si>
    <t>5986-16-11</t>
  </si>
  <si>
    <t>5987-16-11</t>
  </si>
  <si>
    <t>All WW, All IWW, All WWC Operators</t>
  </si>
  <si>
    <t>5988-16-11</t>
  </si>
  <si>
    <t>5989-16-11</t>
  </si>
  <si>
    <t>5990-16-11</t>
  </si>
  <si>
    <t>5991-16-11</t>
  </si>
  <si>
    <t>5992-16-11</t>
  </si>
  <si>
    <t>5993-16-11</t>
  </si>
  <si>
    <t>All WW and All IWW Operators</t>
  </si>
  <si>
    <t>5994-16-11</t>
  </si>
  <si>
    <t>5995-16-11</t>
  </si>
  <si>
    <t>All WW Operators</t>
  </si>
  <si>
    <t>5996-16-11</t>
  </si>
  <si>
    <t>WW 3, 4, A; IWW 4 Operators</t>
  </si>
  <si>
    <t>5997-16-11</t>
  </si>
  <si>
    <t>5998-16-11</t>
  </si>
  <si>
    <t>WW 3, 5, A; IWW 5 Operators</t>
  </si>
  <si>
    <t>6001-16-11</t>
  </si>
  <si>
    <t>WW 3, 5, A Operators</t>
  </si>
  <si>
    <t>6002-16-11</t>
  </si>
  <si>
    <t>WW 3, 4, 5, A; IWW 5 Operators</t>
  </si>
  <si>
    <t>6003-16-11</t>
  </si>
  <si>
    <t>6004-16-11</t>
  </si>
  <si>
    <t>All WW, All IWW Operators</t>
  </si>
  <si>
    <t>6005-16-11</t>
  </si>
  <si>
    <t>6006-16-11</t>
  </si>
  <si>
    <t>6007-16-11</t>
  </si>
  <si>
    <t>6008-16-11</t>
  </si>
  <si>
    <t>All WW, All IWW, WT 3, 4 Operators</t>
  </si>
  <si>
    <t>6009-16-11</t>
  </si>
  <si>
    <t>6010-16-11</t>
  </si>
  <si>
    <t>6012-16-11</t>
  </si>
  <si>
    <t>All WW, All IWW, All WT Operators</t>
  </si>
  <si>
    <t>6013-16-11</t>
  </si>
  <si>
    <t>6014-16-11</t>
  </si>
  <si>
    <t>6015-16-11</t>
  </si>
  <si>
    <t>6016-16-11</t>
  </si>
  <si>
    <t>All IWW Operators</t>
  </si>
  <si>
    <t>Water Treatment Part 2 (Disinfection, Water Focus)</t>
  </si>
  <si>
    <t>5979-16-10</t>
  </si>
  <si>
    <t>MATH-004</t>
  </si>
  <si>
    <t>Velocity and Hydraulic Detention Time</t>
  </si>
  <si>
    <t>MATH-005</t>
  </si>
  <si>
    <t>Geometry and Velocity</t>
  </si>
  <si>
    <t>MATH-003</t>
  </si>
  <si>
    <t xml:space="preserve"> </t>
  </si>
  <si>
    <t>Math Strategies for Success</t>
  </si>
  <si>
    <t xml:space="preserve">The first half of this presentation discusses different types of corrosion that can occur in water and wastewater systems with an emphasis on corrosion control in distribution systems specifically. Methods approved by EPA to control corrosion -- passivating films, control of water characteristics, and chemical addition (polyphosphates or silicates) are presented.  Lagelier Index, CCPP Index, Hardness, and Alkalinity are defined.  The galvanic cell and galvanic corrosion are also discussed.  The second half of this presentation discusses three common water quality test methods: chlorine residual analysis by DPD, alkalinity, and hardness. </t>
  </si>
  <si>
    <t>OEPA-B88466597-OM</t>
  </si>
  <si>
    <t>OEPA-D88466583-OM</t>
  </si>
  <si>
    <t>OEPA-B88466595-OM</t>
  </si>
  <si>
    <t>OEPA-D88466608-OM</t>
  </si>
  <si>
    <t>OEPA-D88466609-OM</t>
  </si>
  <si>
    <t>OEPA-D88456761-OM</t>
  </si>
  <si>
    <t>OEPA-D88456757-OM</t>
  </si>
  <si>
    <t>CO_MAX_TUs</t>
  </si>
  <si>
    <t>CO_W</t>
  </si>
  <si>
    <t>CO_WW</t>
  </si>
  <si>
    <t>CO_I</t>
  </si>
  <si>
    <t>CO_D</t>
  </si>
  <si>
    <t>CO_C</t>
  </si>
  <si>
    <t>IN_Approval_Number</t>
  </si>
  <si>
    <t>IN_Technical_Contact_Hours</t>
  </si>
  <si>
    <t>IN_General_Contact_Hours</t>
  </si>
  <si>
    <t>MD_Course_Code</t>
  </si>
  <si>
    <t>MD_Approved_CAT</t>
  </si>
  <si>
    <t>MD_Process</t>
  </si>
  <si>
    <t>MD_Hours</t>
  </si>
  <si>
    <t>Nebraska_Municipal_Hrs</t>
  </si>
  <si>
    <t>Nebraska_Industrial_Hrs</t>
  </si>
  <si>
    <t>NV_CEU_Hrs</t>
  </si>
  <si>
    <t>NV_NWEA_Course_No</t>
  </si>
  <si>
    <t>NV_WW</t>
  </si>
  <si>
    <t>NM_Follows_Colorado</t>
  </si>
  <si>
    <t>OH_Audience</t>
  </si>
  <si>
    <t>Utah_Approval</t>
  </si>
  <si>
    <t>Washington_State_CEUs</t>
  </si>
  <si>
    <t>Washington_State_Approval</t>
  </si>
  <si>
    <t>WI_Approval_No</t>
  </si>
  <si>
    <t>WI_Municipal_Waterworks</t>
  </si>
  <si>
    <t>WI_Wastewater</t>
  </si>
  <si>
    <t>Indigo_Course_ID</t>
  </si>
  <si>
    <t>Indigo_Course_Title</t>
  </si>
  <si>
    <t>Topic_Description</t>
  </si>
  <si>
    <t>How Did CDPHE Determine My Permit Limits?</t>
  </si>
  <si>
    <t>OPEA-B88474073-OM</t>
  </si>
  <si>
    <t>On-Line Wastewater Short School</t>
  </si>
  <si>
    <t>Topic</t>
  </si>
  <si>
    <t>Existing Approval No.</t>
  </si>
  <si>
    <t>Portal Topic Used for TUs Calculation</t>
  </si>
  <si>
    <t>Max TUs</t>
  </si>
  <si>
    <t>MAX</t>
  </si>
  <si>
    <t>TUs</t>
  </si>
  <si>
    <t>Course Cost</t>
  </si>
  <si>
    <t>Indigo ID Number</t>
  </si>
  <si>
    <t>On-Line Drinking Water Short School</t>
  </si>
  <si>
    <t>Wastewater Exam Cram - Day 2</t>
  </si>
  <si>
    <t>Wastewater Exam Cram - Day 3</t>
  </si>
  <si>
    <t>MATH-006</t>
  </si>
  <si>
    <t>Using the Two-Normal and Three-Normal Equations</t>
  </si>
  <si>
    <t>Indigo Course ID</t>
  </si>
  <si>
    <t>Colorado Max TUs</t>
  </si>
  <si>
    <t>Colorado Water TUs</t>
  </si>
  <si>
    <t>Colorado Wastewater TUs</t>
  </si>
  <si>
    <t>Colorado Industrial TUs</t>
  </si>
  <si>
    <t>Colorado Distribution TUs</t>
  </si>
  <si>
    <t>Colorado Collection System TUs</t>
  </si>
  <si>
    <t>Indiana Approval No.</t>
  </si>
  <si>
    <t>Indiana Technical Hrs</t>
  </si>
  <si>
    <t>Indiana General Hrs</t>
  </si>
  <si>
    <t>Maryland Course Code</t>
  </si>
  <si>
    <t>Maryland Audience</t>
  </si>
  <si>
    <t>Maryland Process?</t>
  </si>
  <si>
    <t>Maryland Hours</t>
  </si>
  <si>
    <t>Nebraska Municipal Hours</t>
  </si>
  <si>
    <t>Nebraska Industrial Hours</t>
  </si>
  <si>
    <t>Nevada Course No.</t>
  </si>
  <si>
    <t>Nevada CEU Hours</t>
  </si>
  <si>
    <t>Nevada Wastewater Approval</t>
  </si>
  <si>
    <t>Ohio Audience</t>
  </si>
  <si>
    <t>Washington Approval No.</t>
  </si>
  <si>
    <t>Wisconsin Approval No.</t>
  </si>
  <si>
    <t>Wisconsin Municipal Waterworks</t>
  </si>
  <si>
    <t>Wisconsin Wastewater</t>
  </si>
  <si>
    <t>Washington rounds to nearest hr.</t>
  </si>
  <si>
    <t>DW Only</t>
  </si>
  <si>
    <t>On-Line</t>
  </si>
  <si>
    <t>Total</t>
  </si>
  <si>
    <t>Yes</t>
  </si>
  <si>
    <t>No</t>
  </si>
  <si>
    <t>Time</t>
  </si>
  <si>
    <t>Total Courses Selected</t>
  </si>
  <si>
    <t>MRT Drinking Water Regulatory Course</t>
  </si>
  <si>
    <t>Short Schools and Classroom Courses</t>
  </si>
  <si>
    <t>Wyoming Catalog Number</t>
  </si>
  <si>
    <t>Wyoming
CORE?</t>
  </si>
  <si>
    <t>Wyoming
Rules?</t>
  </si>
  <si>
    <t>Wyoming
Hours</t>
  </si>
  <si>
    <t>Counts as 30-days of hands-on experience for operators</t>
  </si>
  <si>
    <t>taking the D or S level certification exams.</t>
  </si>
  <si>
    <t>WY_Cat_No</t>
  </si>
  <si>
    <t>WY_Core_Hours</t>
  </si>
  <si>
    <t>WY_Total_Hours</t>
  </si>
  <si>
    <t>WY_Rules_Hours</t>
  </si>
  <si>
    <t>Intro to Distribution Systems</t>
  </si>
  <si>
    <t>MRT for Wastewater Treatment and Collection Systems</t>
  </si>
  <si>
    <t>Drinking Water Treatment Part 1</t>
  </si>
  <si>
    <t>Biological Treatment Basics</t>
  </si>
  <si>
    <t>Total Course Length with Questions, Hours</t>
  </si>
  <si>
    <t>OEPA-S88637619-OM</t>
  </si>
  <si>
    <t>Minutes</t>
  </si>
  <si>
    <t>Completed On-Line Wastewater Short School</t>
  </si>
  <si>
    <t>Completed On-Line Drinking Water Short School</t>
  </si>
  <si>
    <t>Wyoming
Area</t>
  </si>
  <si>
    <t>No </t>
  </si>
  <si>
    <t>W, D, WW, C</t>
  </si>
  <si>
    <t>W, D, WW</t>
  </si>
  <si>
    <t>WW, C</t>
  </si>
  <si>
    <t>W, D</t>
  </si>
  <si>
    <t xml:space="preserve">No </t>
  </si>
  <si>
    <t>Students will learn about the relationships between electricity and magnetism and how generators, DC motors, AC motors, relay switches, and other types of electrical equipment work.</t>
  </si>
  <si>
    <t>Fundamentals basics introduces operators to different groups of microorganisms (aerobic, facultative, anaerobic, nitrifying, filamentous, and others) by comparing them to simple combustion motors.  The growth requirements and waste products for each group are presented.  The course concludes with a quick look at kinetics and the concept of limiting reactants.</t>
  </si>
  <si>
    <t>Wastewater</t>
  </si>
  <si>
    <t xml:space="preserve">This presentation covers biological nitrification and denitrification. Topics that are covered include: the organisms responsible for nitrification and denitrification, stoichiometry, variables that impact performance (DO, alkalinity, pH, temperature, SRT, BOD:N ratio), the different types of unit processes (fixed films and activated sludge) that can be used for nitrogen removal. </t>
  </si>
  <si>
    <t> This course covers solids testing for wastewater samples.  Each test method is presented with lots of photographs to walk attendees through the procedures step by step.  Appropriate QA/QC samples for each test method are presented, why they are needed, and what information they give.  Example calculations demonstrate how to obtain final results, percent recovery for standards, and RPD for duplicates.</t>
  </si>
  <si>
    <t>OEPA-B88672230-OM</t>
  </si>
  <si>
    <t>OEPA-B88672243-OM</t>
  </si>
  <si>
    <t>Objective_1</t>
  </si>
  <si>
    <t>Objective_2</t>
  </si>
  <si>
    <t>Objective_3</t>
  </si>
  <si>
    <t>Objective_4</t>
  </si>
  <si>
    <t>Objective_5</t>
  </si>
  <si>
    <t>Objective_6</t>
  </si>
  <si>
    <t>Objective_7</t>
  </si>
  <si>
    <t>Successfully convert one unit to another unit.  For example, convert gpm to cfs.</t>
  </si>
  <si>
    <t>Rearrange equations to solve for an unknown.</t>
  </si>
  <si>
    <t>Use the have / have not strategy to determine which formula is needed.</t>
  </si>
  <si>
    <t>Recognize when unit conversions are needed.</t>
  </si>
  <si>
    <t>Thirty minutes of math problems covering unit conversions.  Participants watch numerous examples followed by working problems on their own and quizzes.</t>
  </si>
  <si>
    <t>Convert one unit to another using dimensional analysis.  For example gpm to cfs.</t>
  </si>
  <si>
    <t>Find the area and volume of cylindrical and rectangular tanks.</t>
  </si>
  <si>
    <t>Calculate the surface area of cylindrical and rectangular tanks.</t>
  </si>
  <si>
    <t>Thirty minutes of math problems focused on chlorine addition -- Dose, Demand, Residual, Pounds per Day, and percent available chlorine are defined.  Attendees watch example problems to calculate each variable and then try similar problems on their own in quiz questions.</t>
  </si>
  <si>
    <t>Understand the difference between dose, demand, and residual.</t>
  </si>
  <si>
    <t>Calculate Dose, Demand, Residual, or pounds per day given the remaining variables.</t>
  </si>
  <si>
    <t>Sixty minutes of math problems focussed on hydraulic detention time and velocity in pipes and open channels.  Attendees watch video examples of math problems being worked followed by performing similar calculations in quizzes.</t>
  </si>
  <si>
    <t>Define hydraulic detention time.</t>
  </si>
  <si>
    <t>Define velocity.</t>
  </si>
  <si>
    <t>Calculate hydraulic detention time and velocity in basins, pipes, and open channels.</t>
  </si>
  <si>
    <t>Ninety minutes of math problems focussed on geometry and velocity.  Participants watch problems being solved followed by trying similar problems on their own in quizzes.</t>
  </si>
  <si>
    <t>Find the cross-sectional area of a pipe and open channel.</t>
  </si>
  <si>
    <t>Describe the effect of changing diameter on cross-sectional area.</t>
  </si>
  <si>
    <t>Find the volume of a rectangular or cylindrical tank or pipe.</t>
  </si>
  <si>
    <t>Use the velocity equation to find either distance, time, or velocity when given two of the three variables.</t>
  </si>
  <si>
    <t>Use the velocity equation to find either velocity, flow, or area when given two of the three variables.</t>
  </si>
  <si>
    <t>Thirty minutes of math problems using the two-normal and three-normal equations to calculate dilutions, dewatering of sludge, and blending of water sources.  Quiz at the end.</t>
  </si>
  <si>
    <t>Solve water and wastewater related math problems using the two-normal and three-normal equations.</t>
  </si>
  <si>
    <t>Understand when to use the two-normal versus three-normal equation.</t>
  </si>
  <si>
    <t>This course discusses the different kinds of pumps used in water and wastewater treatment including centrifugal, positive displacement, peristaltic, and more. Components of each pump and mechanism of action are discussed as well as typical uses. Other topics include: cavitation and why it occurs, calculating horsepower, differences between water, brake, and motor horsepower, pump curves, the pump affinity laws, and total dynamic head. This presentation is supplemented with many wonderful pump animations provided by various pump manufacturers that are linked to through youtube.</t>
  </si>
  <si>
    <t>Identify the major components of a centrifugal pump and give the purpose/function of each piece.  Explain the underlying principals of centrifugal pump operation.</t>
  </si>
  <si>
    <t>List the defining characteristics of a centrifugal pump.</t>
  </si>
  <si>
    <t>Visually inspect cavitation damage on an impeller and determine whether the root cause of cavitation is upstream or downstream of the pump.  List at least five potential causes for pump cavitation.</t>
  </si>
  <si>
    <t>Describe the different types of pumps (centrifugal, inclined screw, positive displacement, plunger, diaphragm, progressing cavity, rotary lobe, and peristaltic) and explain their basic operation.</t>
  </si>
  <si>
    <t>List the most common applications of different pump types.</t>
  </si>
  <si>
    <t>Calculate water, brake, and motor horsepower.</t>
  </si>
  <si>
    <t>Interpret a pump curve diagram.</t>
  </si>
  <si>
    <t>Use the pump affinity laws to calculate the new flow output, discharge head, amp draw, and brake horsepower for a pump after either the impeller diameter or motor speed has changed.</t>
  </si>
  <si>
    <t>Objective_8</t>
  </si>
  <si>
    <t>This course discusses basic properties of water including weight, density, pressure, and specific gravity.  This course discusses basic properties of water including weight, density, pressure, and specific gravity.  Conversion of pressure to feet of head is demonstrated.  Multiple examples of why pressure is so important in water and wastewater systems are presented including:  determining pressures due to elevation changes in distribution systems, high groundwater and floating tanks, surcharging of sewers, and using pressure to do work with hydraulic jacks.  The concepts of velocity and water hammer are introduced.  The presentation closes with a description and demonstration of a ram pump whose operation is based on pressure, velocity, and water hammer.</t>
  </si>
  <si>
    <t>Explain how the hydraulic properties of water can cause a tank or other structure to be pushed upward by rising groundwater, the principals behind a hydraulic jack, and the function of a manometer.</t>
  </si>
  <si>
    <t>Explain the relationship between elevation, pressure, and velocity according to Bernoulli's Theorum.</t>
  </si>
  <si>
    <t>Understand the relationship between water depth and elevation.  Calculate pressure at different locations given elevation differences and starting pressure.</t>
  </si>
  <si>
    <t>Understand the relationship between line pressure and diameter, soil characteristics, and thrust block size.</t>
  </si>
  <si>
    <t>Understand the relationship between water velocity and pipe diameter.</t>
  </si>
  <si>
    <t xml:space="preserve">Understand why water hammer can occur. </t>
  </si>
  <si>
    <t>Explain static head and why theoretical maximum lift is 34 feet at sea level.</t>
  </si>
  <si>
    <t>Compare motor, brake, and water horsepower.  Calculate each type of horsepower and cost to operate.</t>
  </si>
  <si>
    <t>Understand the impact of changing motor speed or impeller diameter on pump performance.  Apply the pump affinity laws to predict new pump flow output, discharge head, break horsepower, and amp draw.</t>
  </si>
  <si>
    <t>Understand types of head loss in pumped systems and explain the mathematical relationships shown in Darcy-Weisbach and Hazen-Williams equations.  Calculate total head loss for a simple pump-piping system.</t>
  </si>
  <si>
    <t>Understand system curves and the system operating point.  Interpret information on a typical centrifugal pump curve and find the operating point.</t>
  </si>
  <si>
    <t>This course discusses corrosion control in drinking water distribution and wastewater treatment and collection systems.  Attendees are introduced to several different causes of corrosion.  The galvanic cell and its components are discussed and how eliminating one component of the galvanic cell can prevent corrosion including: preventing contact between dissimilar metals, materials selection, coatings, and cathodic protection.  Microbially mediated corrosion is discussed along with methods to mitigate hydrogen sulfide corrosion.  For distribution systems, each of the accepted EPA strategies for corrosion control are discussed: alkalinity, pH, and calcium adjustment and orthophosphate and silicate addition.  Attendees are introduced to the Langelier Index and the Calcium Carbonate Precipitation Potential Index.</t>
  </si>
  <si>
    <t>Understand the fundamental mechanisms behind crevice corrosion, selective leaching, errosion corrosion, and microbially induced corrosion.</t>
  </si>
  <si>
    <t>List the four components of a galvanic cell and explain the basic mechanisms behind galvanic corrosion.</t>
  </si>
  <si>
    <t>Determine which of two metals will corrode when two different metals are placed into contact with another.</t>
  </si>
  <si>
    <t>Discuss various methods of mitigating corrosion including control of hydrogen sulfide concentrations, protective coatings, and cathodic protection.</t>
  </si>
  <si>
    <t>Explain the biological mechanism for hydrogen sulfide and sulfuric acid formation under septic conditions.</t>
  </si>
  <si>
    <t>Identify factors involved in corrosion of the water distribution system.  Evaluate results of a Langelier Index or Calcium Carbonate Precipitation Index calculation.</t>
  </si>
  <si>
    <t>Explain the mechanisms behind each of the three EPA accepted methods for mitigating corrosion in distribution systems:  passivation, surficial coatings, and water chemistry adjustment.  Discuss the importance of dissolved inorganic carbon (alkalinity) on formation of passivating films.</t>
  </si>
  <si>
    <t>Define the three main maintenance strategies (corrective, preventive, and predictive), give an example of each type of maintenance, and explain when each type of maintenance program is preferred.</t>
  </si>
  <si>
    <t>Implement a basic maintenance program with four components: identification of assets, selection of a maintenance strategy for each, write job plans and schedule work orders, and collection and analysis of condition data.</t>
  </si>
  <si>
    <t>Recognize predictive maintenance tools including oil analysis, vibration analysis, ultrasonic analysis, infrared imaging, and root cause analysis.</t>
  </si>
  <si>
    <t xml:space="preserve">Explain the relationship between electricity, magnetic fields, and conductors. </t>
  </si>
  <si>
    <t>Understand the differences between single-phase and three-phase power.</t>
  </si>
  <si>
    <t>This course covers the efficient and safe collection of representative samples. We will discuss characteristics and guidelines of representative samples, how to record samples, and various types of samples, as well as the use of autosamplers. Students will view both good and bad examples of samples taken.</t>
  </si>
  <si>
    <t>Explain what makes a sample representative and the assumptions behind sample collection. Determine whether to collect grab or composite samples based on data quality objectives.</t>
  </si>
  <si>
    <t>Evaluate sampling locations to determine whether they are suitable for obtaining representative samples.</t>
  </si>
  <si>
    <t>Utilize correct sampling protocol when collecting field samples to ensure they are representative and to avoid contamination.  Select the correct sampling container and preservation method for each analysis.</t>
  </si>
  <si>
    <t>Correctly install and operate composite autosamplers.  Evaluate influent wastewater analysis results as a way to determine if sampling results are typical for domestic wastewater.</t>
  </si>
  <si>
    <t>Identify critical data quality objectives for taking different types of samples based on information desired and the level of QA/QC required.</t>
  </si>
  <si>
    <t>Interpret a breakpoint chlorination graph providing detail on the chemical species present at different chlorine to ammonia ratios.  Explain how use of chloramines for disinfection limits DBP formation.</t>
  </si>
  <si>
    <t>Understand the reasons and regulatory background for limiting HAA5 and TTHM in drinking and reclaimed water.</t>
  </si>
  <si>
    <t>Define disinfection byproducts and identify the two main groups - haloacetic acids (HAA5) and total trihalomethanes (TTHMs).</t>
  </si>
  <si>
    <t>This course covers the periodic table, atoms, ionic and covalent bonding, determining the makeup of a chemical compound (stoichiometry), naming of compounds, atomic and formula weights, calculating chemical dosages, and the concept of limiting reactant.  Examples are drawn from phosphorus precipitation, disinfection, and other common reactions in wastewater.</t>
  </si>
  <si>
    <t>Understand the concept of chemical equilibrium.</t>
  </si>
  <si>
    <t>Convert nitrogen compounds to "N" and phosphate compounds from phosphate to "P".  Convert ammonia to ammonia as N, for example.</t>
  </si>
  <si>
    <t>Predict whether a solid precipitate could form as a result of a chemical reaction using information from the solubility tables.</t>
  </si>
  <si>
    <t>Apply knowledge of precipitation chemistry to removing phosphorus from wastewater by chemical treatment.</t>
  </si>
  <si>
    <t>Calculate formula weights for different compounds given the chemical formula.</t>
  </si>
  <si>
    <t>Predict whether an atom will gain or lose electrons and which ion will be formed as a result.</t>
  </si>
  <si>
    <t>Combine ions in the correct proportions to form chemical compounds.</t>
  </si>
  <si>
    <t>Balance chemical equations.</t>
  </si>
  <si>
    <t>Calculate the number of grams of reactant required to chemically react with another reactant given the chemical equation.</t>
  </si>
  <si>
    <t>Objective_9</t>
  </si>
  <si>
    <t>Understand the regulatory definition of a trench and when shoring and ladders are required.</t>
  </si>
  <si>
    <t>Identify potential hazards associated with working in trenches and methods to mitigate them.</t>
  </si>
  <si>
    <t>Evaluate conditions within trenches to identify boiling, heaving or squeezing, subsidence and bulging, tension cracks, toppling, and sloughing.</t>
  </si>
  <si>
    <t>Understand soil classifications.</t>
  </si>
  <si>
    <t>Interpret results of standard field visual and tactile tests to identify potential hazards due to soil type.</t>
  </si>
  <si>
    <t>Understand limits of allowable slopes and how soil types and other environmental conditions impact the allowable slope and potential for cave-in.</t>
  </si>
  <si>
    <t>Discuss different types of soil shoring systems available and characteristics of each.</t>
  </si>
  <si>
    <t>Define a confined space and a permit required confined space.</t>
  </si>
  <si>
    <t>Recite the permissible entry limits for oxygen, flammable gases, airborne dust, hydrogen sulfide, and carbon monoxide.  Describe the potential hazards associated with each.  Become familiar with a typical confined space entry permit.</t>
  </si>
  <si>
    <t>Describe the goals of a confined space program.</t>
  </si>
  <si>
    <t>List the duties of the entrant, attendant, and supervisor.</t>
  </si>
  <si>
    <t>Describe the procedure for a non-entry rescue.</t>
  </si>
  <si>
    <t>Complete the entry permit and safely participate in a confined space entry.</t>
  </si>
  <si>
    <t>Understand why workers don't always follow proper procedure when entering a confined space.  Risk versus reward.</t>
  </si>
  <si>
    <t>Identify major components of collection systems and describe their function.</t>
  </si>
  <si>
    <t>Distinguish between central and satellite treatment facilities.  Define the three main types of collection systems: sanitary, storm, and combined.</t>
  </si>
  <si>
    <t>Understand typical per capita wastewater generation rates and peak hour peaking factors. Estimate expected flow rates at defined points in the collection system given information about land usage.</t>
  </si>
  <si>
    <t>Calculate velocity for full and half-full pipes.  Explain factors that complicate calculating velocity in gravity sewer lines and explain why field measurements are needed for greatest accuracy.  Explain desired velocity ranges.</t>
  </si>
  <si>
    <t>Define depth to diameter ratio and explain why pipes with a d/D of 0.8 discharge the same flow as pipes with a d/D of 1.0.</t>
  </si>
  <si>
    <t>List the prohibited discharges and explain why they are prohibited.</t>
  </si>
  <si>
    <t>Describe alternatives to gravity sewers including pressure sewers, STEP and STEG systems, and vacuum sewers.</t>
  </si>
  <si>
    <t>Recognize the importance of accurate system maps as part of asset management.</t>
  </si>
  <si>
    <t>Differentiate between sources of inflow and sources of infiltration</t>
  </si>
  <si>
    <t>Discuss causes of surcharging and how I&amp;I can cause surcharging and sanitary sewer overflows.</t>
  </si>
  <si>
    <t>Identify potential sewer and manhole damage from surface evidence such as cracked pavement.</t>
  </si>
  <si>
    <t>Identify and assess bellies, sags, offset joints, and cracks in collection system pipes.</t>
  </si>
  <si>
    <t>Identify and assess protruding taps, horizontal bores through pipes, and roots as three types of blockages in sewer pipes.</t>
  </si>
  <si>
    <t>Describe the components of a successful grease control program.</t>
  </si>
  <si>
    <t>Complete a manhole inspection form and list possible causes of grit and/or water accumulation in manholes.</t>
  </si>
  <si>
    <t>Assess potential for sewer damage and presence of cross-connections with smoke testing.</t>
  </si>
  <si>
    <t>Understand the principals behind dye testing and its use in proving a positive connection.</t>
  </si>
  <si>
    <t>Evaluate footage from CCTV sewer line inspections.  Code and rate various types of deficiencies depending on severity.  List steps for start up and shut down of CCTV cameras.</t>
  </si>
  <si>
    <t>Explain how hydraulic jetting of sewers is performed with an emphasis of selecting the correct jet head for the task at hand.</t>
  </si>
  <si>
    <t>Explain the basic function of bucket machines and list their advantages and disadvantages.</t>
  </si>
  <si>
    <t>Explain the basic function of rodding machines and identify which types of blockages are best suited to rodding machines.</t>
  </si>
  <si>
    <t>Discuss the basic principles behind sewer balling and the potential for flooding service lines.</t>
  </si>
  <si>
    <t>Objective_10</t>
  </si>
  <si>
    <t>Start</t>
  </si>
  <si>
    <t>End</t>
  </si>
  <si>
    <t>Registration</t>
  </si>
  <si>
    <t>Break</t>
  </si>
  <si>
    <t>Basic Math</t>
  </si>
  <si>
    <t>Lunch</t>
  </si>
  <si>
    <t>Activated Sludge - Part 1</t>
  </si>
  <si>
    <t>Activated Sludge - Part 2</t>
  </si>
  <si>
    <t>Advanced Math</t>
  </si>
  <si>
    <t>Nitrogen Removal</t>
  </si>
  <si>
    <t>Phosphorus Removal</t>
  </si>
  <si>
    <t>Solids Digestion - Part 1</t>
  </si>
  <si>
    <t>Solids Digestion - Part 2</t>
  </si>
  <si>
    <t>Dewatering - Part 1 (Centrifuges)</t>
  </si>
  <si>
    <t>Dewatering - Part 2 (BFPs)</t>
  </si>
  <si>
    <t>Applied Biosolids Math</t>
  </si>
  <si>
    <t>Total TUs Attainable</t>
  </si>
  <si>
    <t>Day 1</t>
  </si>
  <si>
    <t>Day 2</t>
  </si>
  <si>
    <t>Day 3</t>
  </si>
  <si>
    <t>Total TUs for Day 1</t>
  </si>
  <si>
    <t>Total TUs for Day 2</t>
  </si>
  <si>
    <t>Total TUs for Day 3</t>
  </si>
  <si>
    <t>Brochure:</t>
  </si>
  <si>
    <t>https://www.indigowatergroup.com/wp-content/uploads/2021/04/2021-Exam-Cram-Brochure.pdf</t>
  </si>
  <si>
    <t>This is part of a series of on-line training classes taught from ACRP's book "Introduction to Small Water Systems".  This presentation reviews the major components of distribution systems including pipes and materials, valves, hydrants, storage reservoirs, meters, and curb stops. The concept of cross connections is introduced and the various methods for avoiding a cross connection are defined (air gap, vacuum breaker, etc.).</t>
  </si>
  <si>
    <t>OEPA-D88681194-OM</t>
  </si>
  <si>
    <t>OEPA-D88681133-OM</t>
  </si>
  <si>
    <t>Colorado Approval No.
2022</t>
  </si>
  <si>
    <t>Laboratory Procedures</t>
  </si>
  <si>
    <t>Laboratory - pH, Alkalinity, and Hardness</t>
  </si>
  <si>
    <t>Laboratory - Proper Use of Spectrophotometers (QA/QC)</t>
  </si>
  <si>
    <t>Laboratory - Total Suspended Solids</t>
  </si>
  <si>
    <t>Laboratory - Chlorine Residual by DPD</t>
  </si>
  <si>
    <t>ALL-006</t>
  </si>
  <si>
    <t>ALL-009</t>
  </si>
  <si>
    <t>ALL-010</t>
  </si>
  <si>
    <t>WWT-002</t>
  </si>
  <si>
    <t>WWT-026</t>
  </si>
  <si>
    <t>LAB-001</t>
  </si>
  <si>
    <t>LAB-002</t>
  </si>
  <si>
    <t>LAB-003</t>
  </si>
  <si>
    <t>LAB-004</t>
  </si>
  <si>
    <t>LAB-005</t>
  </si>
  <si>
    <t>LAB-006</t>
  </si>
  <si>
    <t>LAB-007</t>
  </si>
  <si>
    <t>LAB-008</t>
  </si>
  <si>
    <t>LAB-009</t>
  </si>
  <si>
    <t>LAB-010</t>
  </si>
  <si>
    <t>Follow the order of operations to solve equations.</t>
  </si>
  <si>
    <t xml:space="preserve">This presentation discusses hydraulic principles as they relate to pump operation. The presentation begins with a thorough discussion of total dynamic head and each of its components, the difference between suction lift and suction head, and how to calculate major and minor losses in a system. The second portion of the talk discusses work, power, and energy, how each is calculated, and the cost of running a piece of equipment. The presentation continues with a discussion of discharge velocity from a centrifugal pump, calculating impeller diameter, and the pump affinity laws. Attendees will learn to predict pump output, brake horsepower, amp draw, and discharge head from changes to either the pump speed or impeller diameter. </t>
  </si>
  <si>
    <t>Explain the mechanisms behind disinfection byproduct formation.  Apply knowledge of DBP formation and critical operating parameters to limit DBP formation during wastewater and drinking water treatment and in the distribution system.</t>
  </si>
  <si>
    <t xml:space="preserve">This course covers confined space entry requirements according to OSHA.  Attendees will learn the difference between confined spaces and permit required confined spaces, when confined space entry permits are required, some of the hazards that may be encountered in a confined space, what constitutes a safe entry condition, and how to complete the entry permit and safely participate in a confined space entry. </t>
  </si>
  <si>
    <t>Describe the major components of dry pt and wet pit lift stations including four different methods of level control.</t>
  </si>
  <si>
    <t>Identify different types of valves that may be present in a typical lift station and give the purpose of each.</t>
  </si>
  <si>
    <t>List routine maintenance tasks and their recommended frequency.</t>
  </si>
  <si>
    <t>Understand why the flow output from two pumps discharging into the same force main will be slightly less than the sum of the flows when each pump is operating independently.</t>
  </si>
  <si>
    <t>Understand that municipal wastewater plants have three types of capacity: hydraulic, organic, and solids handling and that each type of capacity must be protected from industrial discharges.</t>
  </si>
  <si>
    <t>Understand the potential impacts of industrial wastestreams on municipal wastewater treatment plants and the need for a pretreatment program.</t>
  </si>
  <si>
    <t>Explain the concept of local limits and give two specific examples of why a local limit may be needed.</t>
  </si>
  <si>
    <t>Discuss enforcement mechanisms available when an industrial user is in significant non-compliance.</t>
  </si>
  <si>
    <t>Discuss the potential for prohibited discharges, pass-through, and interference from industrial discharges.</t>
  </si>
  <si>
    <t>Identify when a WWTP might be required to have a formal pretreatment program.</t>
  </si>
  <si>
    <t>Categorize dischargers as significant, categorical, or non-significant.</t>
  </si>
  <si>
    <t>Describe the voluntary pollution prevention program and compare and contrast it to the Federal Pretreatment Program giving pros and cons for each.</t>
  </si>
  <si>
    <t>Identify all of the different components of a manhole; bench, riser, base, etc.</t>
  </si>
  <si>
    <t>Locate known and lost manholes and perform a basic inspection.</t>
  </si>
  <si>
    <t>List four items of concern in a manhole interior.</t>
  </si>
  <si>
    <t>Explain why hydrogen sulfide is generated in sewers and describe at least three methods for mitigating its formation or controlling gas phase concentrations.</t>
  </si>
  <si>
    <t>Describe three different methods for mitigating inflow and infiltration in manholes.  Match methods to the type of inflow.</t>
  </si>
  <si>
    <t>Understand why algae blooms occur in reservoirs and how to control / mitigate them.</t>
  </si>
  <si>
    <t>Recognize differences in water quality characteristics between groundwater and surface water sources.</t>
  </si>
  <si>
    <t>List the different types of aquifers and the properties of each.</t>
  </si>
  <si>
    <t>Understand how permeability and soil types relate to groundwater movement and well production.</t>
  </si>
  <si>
    <t>Define the cone of depression, specific yield, zone of influence, draw down, and operating level.</t>
  </si>
  <si>
    <t>List well components and give the function of each.</t>
  </si>
  <si>
    <t>Understand that well heads must be protected from contamination by a combination of physical barriers.</t>
  </si>
  <si>
    <t>Compare and contrast the different types of pumps that may be used in wells.</t>
  </si>
  <si>
    <t>Understand that surface water treatment uses a multi-barrier approach to protect public health.</t>
  </si>
  <si>
    <t>List the four steps of conventional drinking water treatment and describe each.</t>
  </si>
  <si>
    <t>Understand the need for jar testing and interpret jar testing results.</t>
  </si>
  <si>
    <t>Describe how membranes work and explain how they differ from other filtration processes.</t>
  </si>
  <si>
    <t>List the characteristics of chlorine gas and the compounds formed when gaseous chlorine and sodium hypochlorite react with water.</t>
  </si>
  <si>
    <t>Explain the purpose of a fusible plug and give the melt temperature.</t>
  </si>
  <si>
    <t>Discuss the breakpoint chlorination curve and describe in detail the chemical reactions taking place at each stage of the curve.</t>
  </si>
  <si>
    <t>Explain regulatory requirements for chlorine leaks, how to detect a chlorine leak, and the three types of repair kits.</t>
  </si>
  <si>
    <t>Calculate dose, demand, residual, and feed rate.</t>
  </si>
  <si>
    <t>Understand minimum contact times and how they are affected by temperature and pH.</t>
  </si>
  <si>
    <t>Describe the steps involved in changing out a chlorine gas cylinder.</t>
  </si>
  <si>
    <t>1.0 TC</t>
  </si>
  <si>
    <t>0.5 TC</t>
  </si>
  <si>
    <t>1.5 TC</t>
  </si>
  <si>
    <t>2.0 TC</t>
  </si>
  <si>
    <t>2.5 TC</t>
  </si>
  <si>
    <t>3.0 TC</t>
  </si>
  <si>
    <t>New Mexico
TC</t>
  </si>
  <si>
    <t>List the steps in the hydrologic cycle and briefly describe each.</t>
  </si>
  <si>
    <t>Define groundwater, surface water, and groundwater under direct influence of surface water.  List some properties of each.</t>
  </si>
  <si>
    <t>Explain why water usage tends to have a diurnal pattern.</t>
  </si>
  <si>
    <t>List the goals of all water treatment and distribution systems: to protect public health by providing water that is reliable, safe (potable), and palatable.</t>
  </si>
  <si>
    <t>Define log removal.</t>
  </si>
  <si>
    <t>Explain how water systems are classified and define what constitutes a public water system, community water system, and non-community water system.</t>
  </si>
  <si>
    <t xml:space="preserve">This is part 3 of a series of on-line training classes taught from ACRP's book "Introduction to Small Water Systems".  Water Sources is broken into two on-line training courses labeled as Part 1 and Part 2.  These two courses look at water sources; ground and surface, and the advantages and disadvantages of each.  Other topics explored in these two presentations include:  raw water storage (reservoirs and tanks), surface water intake types, flow measurement (weirs and flumes), aquifer terminology (confined, unconfined, artesian, zones, porosity, etc.), well location criteria, well components, and turbine pumps. </t>
  </si>
  <si>
    <t>List the major categories of water usage in the United States.</t>
  </si>
  <si>
    <t>This is part 4 of a series of on-line training classes taught from ACRP's book "Introduction to Small Water Systems".  Water Treatment is broken into two on-line training courses labeled as Part 1 and Part 2.  These two courses begin with a discussion of the need for treatment and the types of contaminants removed before moving on to look at an overview of the three primary methods of surface water treatment (conventional, direct filtration, and membrane treatment).  Each step of conventional treatment (coagulation, flocculation, sedimentation, and filtration) are explained at an overview level.  Jar testing and determining optimal coagulant doses are also discussed.  Part 2 focuses on chlorine disinfection.</t>
  </si>
  <si>
    <t>Compare and contrast direct filter to conventional water treatment plants.</t>
  </si>
  <si>
    <t>This drinking water-focused presentation walks the participant through chlorine chemistry, the different forms of chlorine available for disinfection, and chlorine safety. This class devotes time to the safe handling of gaseous and liquid chlorine and reporting requirements under SARA Title III. The class covers recommended doses and contact times for various applications as well as the impact of water chemistry and temperature on disinfection.  CT calculations and HRT credits for various water tank configurations and disinfection byproduct formation are also discussed.</t>
  </si>
  <si>
    <t>List and describe the three types of distribution system layout.</t>
  </si>
  <si>
    <t>List the functions of water storage reservoirs and tank in the distribution system.</t>
  </si>
  <si>
    <t>Convert between feet of head and pounds per square inch.</t>
  </si>
  <si>
    <t>Discuss the different types of valves that may be present in distribution systems, what they are typically used for, and how they function.</t>
  </si>
  <si>
    <t>Explain how an altitude valve may be used to control water level in a tank.</t>
  </si>
  <si>
    <t>List the components of a typical customer service line and give the function of each.</t>
  </si>
  <si>
    <t>Define cross-connection, backflow, back siphonage, and back pressure.</t>
  </si>
  <si>
    <t>List the different types of cross connection control devices and explain how each works.</t>
  </si>
  <si>
    <t>Discuss the different types of fire hydrants and where they might be used.</t>
  </si>
  <si>
    <t>List the four components of the galvanic cell and explain why corrosion of similar and dissimilar metals occurs.</t>
  </si>
  <si>
    <t>Describe the 5 types of corrosion control accepted for use by EPA in water distribution systems.</t>
  </si>
  <si>
    <t>Properly conduct the following laboratory tests: chlorine residual, alkalinity, and hardness.</t>
  </si>
  <si>
    <t>Compare and contrast the Langelier Saturation Index (LSI) and Calcium Carbonate Precipitation Potential (CCWP) and how each can be used to predict corrosion or deposition in a water distribution system.</t>
  </si>
  <si>
    <t>Course Description</t>
  </si>
  <si>
    <t>Learning Objective 1</t>
  </si>
  <si>
    <t>Learning Objective 2</t>
  </si>
  <si>
    <t>Learning Objective 3</t>
  </si>
  <si>
    <t>Learning Objective 4</t>
  </si>
  <si>
    <t>Learning Objective 5</t>
  </si>
  <si>
    <t>Learning Objective 6</t>
  </si>
  <si>
    <t>Learning Objective 7</t>
  </si>
  <si>
    <t>Learning Objective 8</t>
  </si>
  <si>
    <t>Learning Objective 9</t>
  </si>
  <si>
    <t>Learning Objective 10</t>
  </si>
  <si>
    <t>Learning Objective 11</t>
  </si>
  <si>
    <t>Learning Objective 12</t>
  </si>
  <si>
    <t>Objective_11</t>
  </si>
  <si>
    <t>Objective_12</t>
  </si>
  <si>
    <t>22-05990-001</t>
  </si>
  <si>
    <t>22-05988-001</t>
  </si>
  <si>
    <t>22-05987-001</t>
  </si>
  <si>
    <t>22-05986-002</t>
  </si>
  <si>
    <t>22-05985-002</t>
  </si>
  <si>
    <t>22-05984-002</t>
  </si>
  <si>
    <t>22-05983-002</t>
  </si>
  <si>
    <t>Ohio Approval No. 
(Pre Nov 2021)</t>
  </si>
  <si>
    <t>OH_Approval_Number_New</t>
  </si>
  <si>
    <t>OH_Approval_Number_Old</t>
  </si>
  <si>
    <t>OH_Hours_New</t>
  </si>
  <si>
    <t>WY_Area</t>
  </si>
  <si>
    <t>CO_Number_2022</t>
  </si>
  <si>
    <t>22-07222-001</t>
  </si>
  <si>
    <t>22-06696-001</t>
  </si>
  <si>
    <t>22-06672-001</t>
  </si>
  <si>
    <t>22-06617-001</t>
  </si>
  <si>
    <t>22-06342-001</t>
  </si>
  <si>
    <t>22-06046-002</t>
  </si>
  <si>
    <t>22-06038-001</t>
  </si>
  <si>
    <t>22-06037-001</t>
  </si>
  <si>
    <t>22-06036-001</t>
  </si>
  <si>
    <t>22-06035-001</t>
  </si>
  <si>
    <t>22-06033-001</t>
  </si>
  <si>
    <t>22-06032-001</t>
  </si>
  <si>
    <t>22-06840-002</t>
  </si>
  <si>
    <t>22-07363-001</t>
  </si>
  <si>
    <t>22-07362-001</t>
  </si>
  <si>
    <t>22-06030-001</t>
  </si>
  <si>
    <t>22-06029-001</t>
  </si>
  <si>
    <t>22-06026-001</t>
  </si>
  <si>
    <t>22-06025-001</t>
  </si>
  <si>
    <t>22-06024-001</t>
  </si>
  <si>
    <t>22-06023-001</t>
  </si>
  <si>
    <t>22-06020-001</t>
  </si>
  <si>
    <t>22-06019-001</t>
  </si>
  <si>
    <t>22-06018-001</t>
  </si>
  <si>
    <t>22-06017-001</t>
  </si>
  <si>
    <t>Laboratory - Jar Testing</t>
  </si>
  <si>
    <t>22-06016-001</t>
  </si>
  <si>
    <t>22-06015-001</t>
  </si>
  <si>
    <t>22-06012-001</t>
  </si>
  <si>
    <t>22-06010-001</t>
  </si>
  <si>
    <t>22-06009-001</t>
  </si>
  <si>
    <t>22-06008-001</t>
  </si>
  <si>
    <t>22-06007-001</t>
  </si>
  <si>
    <t>22-06006-001</t>
  </si>
  <si>
    <t>22-06004-001</t>
  </si>
  <si>
    <t>22-06005-001</t>
  </si>
  <si>
    <t>22-06003-001</t>
  </si>
  <si>
    <t>22-06001-002</t>
  </si>
  <si>
    <t>22-05998-001</t>
  </si>
  <si>
    <t>22-06000-002</t>
  </si>
  <si>
    <t>22-05999-001</t>
  </si>
  <si>
    <t>22-05997-001</t>
  </si>
  <si>
    <t>22-05996-001</t>
  </si>
  <si>
    <t>22-05993-001</t>
  </si>
  <si>
    <t>22-05992-001</t>
  </si>
  <si>
    <t>22-05991-001</t>
  </si>
  <si>
    <t>22-05994-001</t>
  </si>
  <si>
    <t>22-06022-002</t>
  </si>
  <si>
    <t>22-06034-002</t>
  </si>
  <si>
    <t>22-06743-002</t>
  </si>
  <si>
    <t>22-06039-001</t>
  </si>
  <si>
    <t>22-06028-001</t>
  </si>
  <si>
    <t>LAB-011</t>
  </si>
  <si>
    <t>NV_Drinking Water Approval</t>
  </si>
  <si>
    <t>Nevada Drinking Water Hours</t>
  </si>
  <si>
    <t>Kansas Approval Number</t>
  </si>
  <si>
    <t>Kansas Water Hours</t>
  </si>
  <si>
    <t>Kansas Wastewater Hours</t>
  </si>
  <si>
    <t>KS_Approval</t>
  </si>
  <si>
    <t>KS_Water</t>
  </si>
  <si>
    <t>KS_Wastewater</t>
  </si>
  <si>
    <t>KS_Audience</t>
  </si>
  <si>
    <t>Kansas Audience</t>
  </si>
  <si>
    <t>MASS_Approval</t>
  </si>
  <si>
    <t>MASS_TCH</t>
  </si>
  <si>
    <t>MASS_Audience</t>
  </si>
  <si>
    <t>Massachusettes Approval</t>
  </si>
  <si>
    <t>Massachusettes Training Contact Hours</t>
  </si>
  <si>
    <t>Massachusettes Audience</t>
  </si>
  <si>
    <t>WWT-030</t>
  </si>
  <si>
    <t>WY_Core</t>
  </si>
  <si>
    <t>Wyoming Core Hours</t>
  </si>
  <si>
    <t>NM_Hours</t>
  </si>
  <si>
    <t>New Mexico Hours</t>
  </si>
  <si>
    <t>placeholder</t>
  </si>
  <si>
    <t>S/S</t>
  </si>
  <si>
    <t>22-06011-001</t>
  </si>
  <si>
    <t>22-07639-001</t>
  </si>
  <si>
    <t>22-05995-002</t>
  </si>
  <si>
    <t>--</t>
  </si>
  <si>
    <t>Classify bacteria according to their preferred oxygen and carbon sources:  hetertroph vs autotroph and obligate aerobe vs facultative vs anaerobic.  Understand the goals of secondary treatment.</t>
  </si>
  <si>
    <t>Understand the goals of preliminary and primary treatment.  Identify major pieces of equipment and unit processes associated with preliminary and primary treatment.</t>
  </si>
  <si>
    <t>List the goals of solids digestion: reduce volume of sludge for disposal and reduce the number of pathogens.</t>
  </si>
  <si>
    <t>Understand the purpose of dewatering and list three types of equipment that may used for dewatering.</t>
  </si>
  <si>
    <t>Describe the three main types of secondary treatment systems: lagoons, fixed film, and activated sludge.  Identify the major unit processes and pieces of equipment associated with each.</t>
  </si>
  <si>
    <t>Understand that activated sludge systems come in many different varieties, but they are all based on the same fundamental principals of biological treatment.</t>
  </si>
  <si>
    <t>Distinguish between disinfection and sterilization.  List the two major types of disinfection used in wastewater treatment.</t>
  </si>
  <si>
    <t>Utilize per capita generation rates to estimate influent concentrations for different parameters.  Understand that when solids leave in the final effluent, BOD, nitrogen, and phosphorus are also leaving.</t>
  </si>
  <si>
    <t>Calculate an estimated average daily flow and peak hour flow for a service area given population served.</t>
  </si>
  <si>
    <t>Explain the differences between BOD, cBOD, NOD, and COD.</t>
  </si>
  <si>
    <t>Determine whether or not a wastewater is more or less likely to have an industrial component based on the COD to cBOD ratio.</t>
  </si>
  <si>
    <t>Understand that solids are classified by their size (particulate versus soluble) and whether or not they are volatile.</t>
  </si>
  <si>
    <t>Analyze influent and effluent data for internal consistency using typical ratios of COD to cBOD to TSS.  Identify the likely out-of-range component.</t>
  </si>
  <si>
    <t>Given laboratory results in mg/L of ammonia, nitrate, or nitrite, convert each so they are expressed as N (e.g. NH3-N).  Convert between PO4= and PO4 as P.</t>
  </si>
  <si>
    <t>List the different groups of bacteria present in biological treatment systems.</t>
  </si>
  <si>
    <t>Describe the growth requirements for each group of bacteria (energy source, carbon source, oxygen source).</t>
  </si>
  <si>
    <t>Define biological treatment terms: heterotroph, autotroph, anaerobic, anoxic, aerobic, floc former, filament former, half-saturation coefficient, maximum growth rate, and yield.</t>
  </si>
  <si>
    <t>Predict how a bacteria will behave based on its environmental conditions.</t>
  </si>
  <si>
    <t>Perform process control calcuations for trickling filters including organic loading rate, hydraulic wetting rate, and percent removal.  Classify trickling filters by treatment goals and loading rates.</t>
  </si>
  <si>
    <t>Understand the importance of hydraulic wetting rate in biofilm formation and mitigation of predators.</t>
  </si>
  <si>
    <t>List characteristics of various types of ttrickling filter media including rock, dump, vertical flow and cross-flow.</t>
  </si>
  <si>
    <t>Discuss how air flows through a trickling filter using natural and forced air ventilation and the impact of air temperature on natural ventilation.</t>
  </si>
  <si>
    <t>Compare and contrast the differences and similarities between trickling filters and rotating biological contactors.</t>
  </si>
  <si>
    <t>Identify major components of trickling filters and give the function of each.</t>
  </si>
  <si>
    <t>Determine the most likely cause of various lagoon operational problems. (troubleshooting)</t>
  </si>
  <si>
    <t>Describe the major components of a constructed wetland and the function of each.</t>
  </si>
  <si>
    <t>List typical effluent concentrations from a constructed wetland including BOD, TSS, ammonia, nitrate, and E. coli.</t>
  </si>
  <si>
    <t>Explain how heat is retained in the wetland to prevent freezing and promote biological treatment.</t>
  </si>
  <si>
    <t>Implement barley straw addition program for algae control in lagoons systems.</t>
  </si>
  <si>
    <t>Perform required maintenance tasks for subsurface flow wetlands and explain why different types of maintenance are required.</t>
  </si>
  <si>
    <t>Explain why turnover happens in pond systems and how the AIPS process mitigates turnover effects.</t>
  </si>
  <si>
    <t>Describe the three main types of ponds (aerobic, facultative, and anaerobic), features of each, and the biological reactions taking place.</t>
  </si>
  <si>
    <t>Classify trickling filters by treatment goals and loading rates.</t>
  </si>
  <si>
    <t>Predict the effect of increasing or decreasing sludge age on other process control variables including MLSS concentration, MLVSS concentration, F:M ratio, and wasting rate. Calculate process control variables from plant data.</t>
  </si>
  <si>
    <t>Perform a Gram or Neisser Stain and interpret results to correctly identify which filament is dominant in an activated sludge process.</t>
  </si>
  <si>
    <t>Match specific filament types to their underlying causes including H. hydrosis, M. parvicella, and Type 21N.</t>
  </si>
  <si>
    <t>Understand that different filaments grow and become dominant under different operating conditions.  Given a filament type, determine the most likely cause of growth.</t>
  </si>
  <si>
    <t>List three different things that the return activated sludge (RAS) and waste activated sludge (WAS) each control.</t>
  </si>
  <si>
    <t>Describe how hydraulic and solids loading parameters are calculated for secondary clarifiers and the relative importance of each.</t>
  </si>
  <si>
    <t>List at least three groups of microorganisms present in activated sludge and describe the conditions that promote their growth.</t>
  </si>
  <si>
    <t>Discuss differences between different types of activated sludge processes (complete mix, step feed, oxidation ditch, pureox, etc.) and understand that they are all based on the same underlying biologial principals.</t>
  </si>
  <si>
    <t>Understand that activated sludge microbiology determines sludge settleability and the need to balance floc formers and filament formers.</t>
  </si>
  <si>
    <t>Classify bacteria according to morphology, growth pattern, carbon source, and oxygen source.  Define heterotroph, autotroph, facultative, and obligate aerobe.</t>
  </si>
  <si>
    <t>Explain how faculative heterotropic bacteria and autotrophic bacteria will function in an anaerobic zone, anoxic zone, and aerated zone.</t>
  </si>
  <si>
    <t>Discuss the impact of filaments on activated sludge settleability and the need to balance the growth of filament formers and floc formers.</t>
  </si>
  <si>
    <t>Understand what may be controlled by manipulating the Return Activated Sludge (RAS) and Waste Activated Sludge (WAS) pumping rates.</t>
  </si>
  <si>
    <t>Select a target sludge age based on water temperature and nitrification requirements.</t>
  </si>
  <si>
    <t>Calculate process control variables associated with secondary clarifiers including surface overflow rate, weir loading rate, and solids loading rate.</t>
  </si>
  <si>
    <t>Demonstrate the relationships between sludge age (control variable) and its dependent process control variables of food to microorganism ratio, MLSS concentration, and MLVSS to MLSS ratio.</t>
  </si>
  <si>
    <t>Conduct three types of settleometer tests and interpret results.</t>
  </si>
  <si>
    <t>Discuss variations on the activated sludge process as combinations of a flow regiment (complete mix, plug flow, step feed, SBR) and an operating mode (conventional, extended aeration, PureOx) giving the dominant features of each.</t>
  </si>
  <si>
    <t>Describe the different types of clarifiers (circular, rectangular, squircle), the major components of clarifiers, and the functions of each component.</t>
  </si>
  <si>
    <t>List the functions of aerobic and anoxic zones for nitrification and denitrification.  Understand how biological nutrient removal processes have evolved to meet lower effluent nitrogen limits.</t>
  </si>
  <si>
    <t>Apply knowledge of denitrification stoichiometry to prevent denitrification from occurring in clarifier blankets.</t>
  </si>
  <si>
    <t>Adjust internal mixed liquor recycle ratios between aerobic and anoxic zones to maximize nitrification and denitrification.</t>
  </si>
  <si>
    <t>Identify sources and types of nitrogen species in the environment and domestic wastewater.</t>
  </si>
  <si>
    <t>Identify the two main groups of bacteria responsible for ammonia removal and their requirements for growth.</t>
  </si>
  <si>
    <t>Select a target mean cell residence time (MCRT) based on treatment goals and water temperature.</t>
  </si>
  <si>
    <t>Explain why effluent ammonia concentrations can be several mg/L even when complete nitrification is taking place.</t>
  </si>
  <si>
    <t>Discuss process variables that may affect nitrification including pH, alkalinity, and dissolved oxygen.</t>
  </si>
  <si>
    <t>Understand denitrification stoichiometry and the requirements for denitrification to take place.</t>
  </si>
  <si>
    <t>Discuss the impact of various operating variables on enhanced biological phosphorus removal performance including dissolved oxygen, pH, temperature, and hydraulic and solids retention times.</t>
  </si>
  <si>
    <t>Evaluate influent data to determine if the carbon source to phosphorus ratios might support enhanced biological phosphorus removal.</t>
  </si>
  <si>
    <t>Understand the basics of phosphorus precipitation chemistry and the concept of metal equivalent to P ratios to achieve certain effluent P goals.</t>
  </si>
  <si>
    <t>List three novel techniques for phosphorus removal.</t>
  </si>
  <si>
    <t>Understand the consequence of discharging excess phosphorus into the environment and the regulatory limitations being placed on phosphorus by EPA.</t>
  </si>
  <si>
    <t>List sources of phosphorus in municipal wastewater.  Convert between phosphorus as phosphate and phosphorus as P.</t>
  </si>
  <si>
    <t>Explain the concept of luxury phosphorus uptake and how phosphate accumulating organisms utilize poly-phosphate for energy storage.</t>
  </si>
  <si>
    <t>Understand that a secondary clarifier can only perform as well as the sludge quality sent to it.</t>
  </si>
  <si>
    <t>Calculate the maximum RAS concentration achievable by the secondary clarifier using settleometer results.  Optimize the RAS flow rate to achieve maximum thickness and keep blanket depth below 2 ft.</t>
  </si>
  <si>
    <t>Understand how changes in influent flow cause a typical clarifier to move between underloaded, overloaded and critically loaded conditions and what happens to the sludge blanket in each case.</t>
  </si>
  <si>
    <t>Calculate the predicted return activated sludge (RAS) concentration given the mixed liquor suspended solids (MLSS) concentration, influent flow, and RAS flow.</t>
  </si>
  <si>
    <t>Label each piece of a State Point Analysis graph and explain the origin of each piece and the information they convey.</t>
  </si>
  <si>
    <t>Explain why the RAS flow rate does not control the MLSS concentration.</t>
  </si>
  <si>
    <t>Explain how trend charts can be effective tools for process control and distinguish between trends and out-of-limit conditions.</t>
  </si>
  <si>
    <t>Understand that F:M, MLSS concentration, and SRT are inextricably linked and that good process control (SRT control) is essential for avoiding situations that require troubleshooting.</t>
  </si>
  <si>
    <t>Collect a clarifier core sample at the correct location to account for the volume of sludge in a conical bottom tank.</t>
  </si>
  <si>
    <t>Evaluate historic sludge volume index data for trends using a CUSUM (cumulative sum) chart to determine when changes in operating modes occurred.</t>
  </si>
  <si>
    <t>Conduct a sludge settleability test using a Mallory settleometer and interpret results from regular settleometer, diluted settleometer, and supernatant comparison tests.  Determine if effluent quality issues are related to sludge quality or a deficiency in the clarifier.</t>
  </si>
  <si>
    <t>Compare and contrast gravimetric total suspended solids results to centrifuge spin results.</t>
  </si>
  <si>
    <t>Conduct a specific oxygen uptake rate test on either activted sludge or an aerobic digester and interpret results.</t>
  </si>
  <si>
    <t>Apply a variety of techniques (mass balance, looking for differences, going back to basics) to troubleshoot operational problems.</t>
  </si>
  <si>
    <t>Explain the purpose of a fusible plug and recite the melt temperature.</t>
  </si>
  <si>
    <t>Describe the products formed when either sodium hypochlorite or calcium hypochlorite solution is mixed with water and the impact on alkalinity.</t>
  </si>
  <si>
    <t>Explain regulatory requirements for chlorine leaks, how to detect a chlorine leak, and the three types of chlorine repair kits.</t>
  </si>
  <si>
    <t>List the characteristics of chlorine gas and write the chemical formulas of the compounds formed when chlorine gas mixes with water.</t>
  </si>
  <si>
    <t>Select a sludge treatment process to produce either Class A or Class B biosolids and meet the vector attraction reduction requirement.</t>
  </si>
  <si>
    <t>List minimum sampling and analysis requirements for finished biosolids and land application sites.</t>
  </si>
  <si>
    <t>Understand that biosolids usage requires generators and anyone who changes biosolids quality to be permitted.</t>
  </si>
  <si>
    <t>Compare and contrast pathogen and contaminant levels allowed for Class A and Class B biosolids.</t>
  </si>
  <si>
    <t>Properly land apply or landfill finished biosolids in accordance with setback requirements and other restrictions.</t>
  </si>
  <si>
    <t>List typical gas production values for anaerobic digesters and give two reasons why digester gas has a lower heating value than natural gas.</t>
  </si>
  <si>
    <t>Describe anaerobic digester operation and the importance of various operating parameters including temperature and loading rate.</t>
  </si>
  <si>
    <t>Review operating data, compare to standard operating conditions, and diagnose the most likely cause for an upset condition.</t>
  </si>
  <si>
    <t>Understand the importance of managing high-ammonia recycle streams from anaerobic digestion and dewatering processes with respect to maintaining stable nitrification on the liquid stream side of the WWTP and preventing bleed-through of high ammonia to the final effluent.</t>
  </si>
  <si>
    <t>List the requirements for meeting Class A or Class B biosolids and vector attraction reduction requirements for land application of biosolids.</t>
  </si>
  <si>
    <t>Compare aerobic digestion to the activated sludge process and list two common operational issues and their solutions.</t>
  </si>
  <si>
    <t>Describe the major components of anaerobic digesters and the function of each.</t>
  </si>
  <si>
    <t>List each of the dewatering zones in a belt filter press and give the expected solids concentration at the end of each zone.</t>
  </si>
  <si>
    <t>Describe the major components of a belt filter press and give the function of each.</t>
  </si>
  <si>
    <t>Understand the three major classifications of polymers and flocculants and the procedure for optimizing polymer dose.</t>
  </si>
  <si>
    <t>Given an operational problem or operational data from a belt filter press, suggest the most likely cause and one other potential cause.  (Troubleshooting)</t>
  </si>
  <si>
    <t>Calculate process control parameters including: percent capture, total run time required, and quantity of finished cake produced.</t>
  </si>
  <si>
    <t>Calculate centrifuge loading rate and percent capture.</t>
  </si>
  <si>
    <t>Describe the major components of a centrifuge and give the function of each component as well as describing ancillary equipment.</t>
  </si>
  <si>
    <t>Explain typical startup and shutdown procedures for a centrifuge.</t>
  </si>
  <si>
    <t>Explain the impact of process control variables including: pond setting, making seal, differential speed, load control, and differential speed control.</t>
  </si>
  <si>
    <t>Troubleshoot common operational problems.</t>
  </si>
  <si>
    <t>Perform common maintenance tasks for a typical centrifuge.</t>
  </si>
  <si>
    <t>Compare and contrast the separation of solids in a centrifuge to secondary clarifier operation.  List the major components of the centrifuge and compare to the major components of a clarifier.</t>
  </si>
  <si>
    <t>Understand that most odor causing compounds in wastewater contain sulfur and are generated through biological activity.</t>
  </si>
  <si>
    <t>Be aware that some odors -- hydrogen sulfide and carbonyl sulfide -- are significant health and safety risks for wastewater workers.</t>
  </si>
  <si>
    <t>Describe methods for measuring odors and odor causing compounds listing them in order of least accurate to most accurate.</t>
  </si>
  <si>
    <t>Be familiar with multiple types of odor control technology including chemical addition, ventilation, carbon filters, biofilters, and air ionization.</t>
  </si>
  <si>
    <t>Understand that perception of odor is significantly different from one person to another.</t>
  </si>
  <si>
    <t>Given a list of heavy metals, determine which metals will be precipitated first when using hydroxide as the titrant.</t>
  </si>
  <si>
    <t>Describe the circumstances when sulfide precipitation, carbonate precipitation, and iron coprecipitation would be used/preferred over other types of precipitation chemistry.</t>
  </si>
  <si>
    <t>Be familiar with vocabulary terms associated with metals precipitation chemistry.</t>
  </si>
  <si>
    <t>Explain why hexavalent chromium must be converted to the trivalent form prior to precipitation.</t>
  </si>
  <si>
    <t>Explain what a chelating agent is and how it functions to sequester metals</t>
  </si>
  <si>
    <t>Understand cyanide destruction chemistry and why cyanide destruction must be done prior to hexavalent chromium removal.</t>
  </si>
  <si>
    <t>Understand that some limits are the same for all domestic facilities.</t>
  </si>
  <si>
    <t>Explain why water quality based standards vary from one stream segment to the next.</t>
  </si>
  <si>
    <t>Compare and contrast metals speciation - D, PD, TR, and T.</t>
  </si>
  <si>
    <t>Explain how discharge permit limits are influenced by water quality in the receiving stream and low flows.</t>
  </si>
  <si>
    <t>Understand that discharge permit limits may be further restricted by antidegradation.</t>
  </si>
  <si>
    <t>Using water quality policy 20, determine sampling frequency requirements based on past permit compliance.</t>
  </si>
  <si>
    <t>Discuss the limitations of spectrophotometers and the concept of a method detection limit.</t>
  </si>
  <si>
    <t>Select appropriate quality assurance and quality control samples for a given analysis.  Explain the purpose behind each type of QA/QC sample and the information gained by analyzing them.</t>
  </si>
  <si>
    <t>Understand that the visible spectrum, colors of light, are dependent on their wavelength.</t>
  </si>
  <si>
    <t>Explain Beer's Law and why samples must be diluted and reanalyzed when they are over the calibrated linear range.</t>
  </si>
  <si>
    <t>Understand the historical and theoretical basis for the BOD test: a bulk estimate of organic content.</t>
  </si>
  <si>
    <t>Calculate BOD results from raw analytical data and evaluate results from QA/QC samples.</t>
  </si>
  <si>
    <t>Correctly set up testing for biochemical oxygen demand including all required and recommended quality assurance and quality control samples.  Explain why each step of the procedure is necessary.</t>
  </si>
  <si>
    <t>Correctly set up a fecal coliform analysis using the most probable number (MPN) method including both presumptive and confirmation steps with all required quality assurance and quality control samples.  Calculate results from raw laboratory data.</t>
  </si>
  <si>
    <t>Discuss the concept of an indicator organism and list at least three properties of a good indicator.</t>
  </si>
  <si>
    <t>Compare and contrast Most Probable Number and Membrane Filtration methods of fecal coliform analysis.  Explain the meaning of MPN/100 mL versus #CFU per 100 mL.</t>
  </si>
  <si>
    <t>Correctly set up a fecal coliform analysis using the membrane filtration method including all required quality assurance and quality control samples.</t>
  </si>
  <si>
    <t>Calculate results for a membrane filtration fecal coliform test.  Interpret results from quality assurance and quality control samples and take corrective action.</t>
  </si>
  <si>
    <t>These method specific talks cover a variety of laboratory testing procedures used in water and wastewater labs.  Each method has its own one hour powerpoint presentation with lots of photographs walking analysts through procedures step by step.  Appropriate QA/QC samples for each method are discussed as well as what to do when QA samples are out of limits.  Each presentation references back to EPA 200 series methods and Standard Methods.</t>
  </si>
  <si>
    <t xml:space="preserve">This course walks attendees through the theory behind the pH, alkalinity, and hardness laboratory tests.  Attendees will learn why alkalinity and hardness are both expressed as mg/L of calcium carbonate.  Each procedure is presented step-by-step in accordance with the requirements and guidelines set forth in Standard Methods including required quality assurance and quality control samples. </t>
  </si>
  <si>
    <t>Define pH, alkalinity, and hardness.</t>
  </si>
  <si>
    <t>Explain why alkalinity and hardness are both expressed as mg/L of calcium carbonate.</t>
  </si>
  <si>
    <t>Conduct pH, alkalinity, and hardness tests on water and wastewater samples.</t>
  </si>
  <si>
    <t>List the required QA/QC samples for each test method.</t>
  </si>
  <si>
    <t>Explain how different types of electric motors function.</t>
  </si>
  <si>
    <t>Identify the major components of different types of electric motors.</t>
  </si>
  <si>
    <t>Explain why switching two leads on a three-phase motor can change the direction of rotation.</t>
  </si>
  <si>
    <t>Describe how electromagnets, switches, contactors, starters, and transformers function.</t>
  </si>
  <si>
    <t>Understand the different types of residuals.</t>
  </si>
  <si>
    <t>Explain why it is possible to get the same total chlorine result at three different points on the breakpoint chlorination curve.</t>
  </si>
  <si>
    <t>Analyze samples for free or total chlorine using the DPD test method.</t>
  </si>
  <si>
    <t>List the required QA/QC samples and the information gained by analyzing each type.</t>
  </si>
  <si>
    <t xml:space="preserve">This course covers residual chlorine analysis using either the total chlorine residual OR free chlorine residual DPD method using a hand-held pocket colorimeter.  The procedure is presented step-by-step in accordance with the requirements and guidelines set forth in Standard Methods including required quality assurance and quality control samples.  This course includes a discussion of DPD chemistry, the breakpoint chlorination curve, formation of chloramines, and the differences between the total and free chlorine residual tests.  The course concludes with a discussion of required QA/QC samples.  </t>
  </si>
  <si>
    <t>IWG-B6007-OM</t>
  </si>
  <si>
    <t>Activated sludge has 7 variables that are critical for process control: waste activated sludge (WAS), return activated sludge (RAS), sludge age (MCRT, SRT, and SRTaerobic), food to microorganism ratio (F:M), dissolved oxygen concentration, oxidation reduction potential (ORP), and internal mixed liquor recycle (IMLR).  This course walks attendees through what each of these variables controls, typical ranges, and how to select a target operating point.</t>
  </si>
  <si>
    <t>Explain the relationships between sludge age, F:M, and MLSS concentration.</t>
  </si>
  <si>
    <t>Understand the difference between MCRT, SRT, and SRTaerobic.</t>
  </si>
  <si>
    <t>Select a target MCRT, SRT, or SRTaerobic based on treatment goals and water temperature.</t>
  </si>
  <si>
    <t>Set targets for DO and ORP in anaerobic, anoxic, and aerobic zones based on treatment goals.</t>
  </si>
  <si>
    <t>Adjust IMLR to maximize nitrate removal and minimize pumping costs.</t>
  </si>
  <si>
    <t>Understand how RAS pumping rates affect the RAS concentration and clarifier solids loading rate.</t>
  </si>
  <si>
    <t>22-07727-001</t>
  </si>
  <si>
    <t>22-07704-001</t>
  </si>
  <si>
    <t>All courses within the short school must be completed for this course to count for EITHER 30-days of hands-on entry level experience OR as a substitute for a high school diploma.</t>
  </si>
  <si>
    <t>Training Units or CEUs are issued for each topic as it is completed.</t>
  </si>
  <si>
    <t>This course walks attendees through the fundamentals of jar testing.  The class starts with a review of drinking water treatment and a discussion of practical applications of jar testing in wastewater treatment.  Attendees will learn how to 1) match jar test mixing intensity and times to conditions in the full scale facility, 2) select chemical dosages, 3) create stock solutions and dilute them, 4) read a G-force chart, 5) interpret jar testing results, and 6) translate results into process adjustments in the full-scale facility.</t>
  </si>
  <si>
    <t>After completing this course, attendees should be able to calculate G-force, HRT,  and SOR for a full scale facility and match jar test mixing intensity and times to those conditions.</t>
  </si>
  <si>
    <t>Select chemical dosage ranges for an initial jar test and then adjust dosages based on results.</t>
  </si>
  <si>
    <t>Create stock solutions and dilute them appropriately to achieve desired chemical doses.</t>
  </si>
  <si>
    <t>Read a G-force chart for a gang stirrer or other jar testing device.</t>
  </si>
  <si>
    <t>Interpret jar testing results and adjust chemical dosages in response.</t>
  </si>
  <si>
    <t>Translate results into process adjustments in the full-scale facility.</t>
  </si>
  <si>
    <t>22-07709-001</t>
  </si>
  <si>
    <t>One hour of math strategies to help operators be more successful when approaching math problems.  Rather than teach operators how to use specific formulas or solve one type of problem, this course teaches strategies that may be used to solve many of the math problems operators are likely to encounter in their day-to-day work and on certification exams.  Attendees will learn how to dissect word problems to determine which formula(s) are needed and when unit conversions are needed.  Attendees will learn the order of operations and how to rearrange common equations.</t>
  </si>
  <si>
    <t xml:space="preserve">This course walks attendees through the theory behind the total dissolved solids (TDS), conductivity, and turbidity tests.  While these parameters are related to one another, they don't measure the same thing.  Each procedure is presented step-by-step in accordance with the requirements and guidelines set forth in Standard Methods including required quality assurance and quality control samples. </t>
  </si>
  <si>
    <t>Explain how TDS and conductivity are related to one another but why one cannot definitively be used to predict the other.</t>
  </si>
  <si>
    <t>Conduct TDS, conductivity, and turbidity analyses on water and wastewater samples.</t>
  </si>
  <si>
    <t>22-07744-001</t>
  </si>
  <si>
    <t>22-07745-001</t>
  </si>
  <si>
    <t>22-06002-002</t>
  </si>
  <si>
    <t>Activated Sludge Microbiology: A View Beneath the Surface</t>
  </si>
  <si>
    <t>WWT-012A</t>
  </si>
  <si>
    <t>WWT-012B</t>
  </si>
  <si>
    <t>22-08900-001</t>
  </si>
  <si>
    <t>Activated Sludge Microbiology: Microscope Basics and the Micro Exam</t>
  </si>
  <si>
    <t>22-08901-001</t>
  </si>
  <si>
    <t>Activated Sludge Microbiology: Filaments and Settling Problems</t>
  </si>
  <si>
    <t>Chemical Handling (under construction)</t>
  </si>
  <si>
    <t xml:space="preserve"> W, D, WW, C</t>
  </si>
  <si>
    <t>Idaho Approvals</t>
  </si>
  <si>
    <t>See NV, WY, or WA</t>
  </si>
  <si>
    <t>IDAHO</t>
  </si>
  <si>
    <t>7188-1-22</t>
  </si>
  <si>
    <t>7189-1-22</t>
  </si>
  <si>
    <t>7190-1-22</t>
  </si>
  <si>
    <t>7191-1-11</t>
  </si>
  <si>
    <t>7192-1-22</t>
  </si>
  <si>
    <t>7193-1-22</t>
  </si>
  <si>
    <t>7194-1-22</t>
  </si>
  <si>
    <t>7195-1-22</t>
  </si>
  <si>
    <t>7196-1-22</t>
  </si>
  <si>
    <t>All WW / I Operators</t>
  </si>
  <si>
    <t>This is the first part of a three part series on activated sludge microbiology.  This course discusses how bacteria are classified, bacterial forms present in activated sludge, and how floc forms.  Attendees will learn how to distinguish between tightly and loosely bound extra-polymeric substances and what the presence of each can indicate.</t>
  </si>
  <si>
    <t>Describe major groups of bacteria present in activated sludge and how they are classified.</t>
  </si>
  <si>
    <t>Distinguish between tightly and loosely bound EPS.</t>
  </si>
  <si>
    <t>Describe key indicators in the bulk water between floc particles.</t>
  </si>
  <si>
    <t>This is the second part of a three part series on activated sludge microbiology.  In part two, attendees will learn how to properly set up and care for their microscope and how to properly conduct a micro exam.</t>
  </si>
  <si>
    <t>List the major components of a phase-contrast microscope.</t>
  </si>
  <si>
    <t>Explain why phase-contrast is necessary for filament observation.</t>
  </si>
  <si>
    <t>Clean, set up, and calibrate a phase-contrast microscope.</t>
  </si>
  <si>
    <t>Properly prepare a wet mount.</t>
  </si>
  <si>
    <t>Perform a micro exam: floc, filaments, higher life forms, and bulk water examination.</t>
  </si>
  <si>
    <t>Diagnose the presence of excessive EPS.</t>
  </si>
  <si>
    <t>Rate filament density using a common scale.</t>
  </si>
  <si>
    <t>List the various operating conditions that can contribute to filament growth.</t>
  </si>
  <si>
    <t>List morphological features of filaments used for identification.</t>
  </si>
  <si>
    <t>Perform a Gram stain.</t>
  </si>
  <si>
    <t>Perform a Neisser stain.</t>
  </si>
  <si>
    <t>Describe the most commonly encountered filaments in domestic wastewater treatment.</t>
  </si>
  <si>
    <t>Justification</t>
  </si>
  <si>
    <t>All types of treatment systems utilize pumps to transfer liquids and sludges from one point to another.  Operators must understand how pumps operate, how to troubleshoot them, and how to perform basic maintenance.</t>
  </si>
  <si>
    <t>An understanding of pressure and being able to convert between pressure and elevation are critical to setting pressure relief valves and other day-to-day operational tasks.</t>
  </si>
  <si>
    <t>Operators must understand velocity in pipes, head, why cavitation occurs, and a host of other issues to effectively troubleshoot and operate pumped systems.</t>
  </si>
  <si>
    <t>All water and wastewater systems need a well-established maintenance program and method of tracking assets.</t>
  </si>
  <si>
    <t>Representative samples are required for process control and regulatory compliance in both water and wastewater systems regardless of size.</t>
  </si>
  <si>
    <t>Water systems must comply with the Disinfection Byproduct Rule.  Wastewater systems are starting to be regulated for DBP formation as well.</t>
  </si>
  <si>
    <t>Collection system operators must be familiar with basic concepts in collection system design so they can effectively operate and maintain them.</t>
  </si>
  <si>
    <t>Collection system operators must be able to identify potential issues with the collection system so they can effectively operate and maintain it.</t>
  </si>
  <si>
    <t>Lift stations and pump stations have many similarities in both configuration and operation.  Broadly applicable to water and wastewater systems.  Operators use, inspect, and troubleshoot lift stations as part of daily duties.</t>
  </si>
  <si>
    <t>Operators must understand the types of industrial wastes that may be discharged to the collection system and their legal authority to control those discharges so they don't cause pass through or interference.</t>
  </si>
  <si>
    <t>Operators must be able to calculate the volumes of tanks as a first step in many different process control calculations like detention time, MCRT, loading rates, etc.</t>
  </si>
  <si>
    <t>Chemical dosing math is used to adjust feed rates for chlorine and other chemicals in water and wastewater treatment systems.</t>
  </si>
  <si>
    <t>Water and wastewater operators are often required to excavate pipelines and tanks to do maintenance.  Proper trenching and shoring is required to avoid cave-ins, injury, and loss of life.</t>
  </si>
  <si>
    <t>Water and wastewater operators routinely perform confined space entries to inspect, clean, and maintain tanks and equipment.</t>
  </si>
  <si>
    <t>Wastewater operators can't effectively treat wastewater unless they understand what is in their wastewater and how each fraction is processed during treatment. Being familiar with typical ratios for domestic wastewater can help operators identify poor sampling practices and non-representative samples.</t>
  </si>
  <si>
    <t>Lagoons and fixed film are both used to process wastewater.  Operators must understand fundamental principals to operate these systems.</t>
  </si>
  <si>
    <t>Activated sludge is used to treat wastewater.  Operators must understand fundamental principals to operate these systems.</t>
  </si>
  <si>
    <t>Total nitrogen removal is a requirement of more and more wastewater treatment plant discharge permits. Operators must understand fundamental principals to achieve compliance.  Drinking water systems that use chloramines to disinfect are at risk of nitrification in the distribution system.</t>
  </si>
  <si>
    <t xml:space="preserve">Phosphorus removal is a requirement of more and more wastewater treatment plant discharge permits. Operators must understand fundamental principals to achieve compliance.  </t>
  </si>
  <si>
    <t>All wastewater treatment processes depend on solids/liquid separation for treatment.  Understanding how clarifiers work and why they fail is critical knowledge for wastewater operators.</t>
  </si>
  <si>
    <t>Many wastewater plants use activated sludge to treat wastewater.  Operators must know how to collect and interpret process control results.</t>
  </si>
  <si>
    <t>Chlorine disinfection is used in water and wastewater.  Information is directly applicable to all system types.</t>
  </si>
  <si>
    <t>Operators must understand the fundamentals of aerobic and anaerobic digestion to effectively operate these processes.</t>
  </si>
  <si>
    <t>Operators must understand the fundamentals of belt filter presses to effectively operate them and achieve high solids capture and high percent solids cake.</t>
  </si>
  <si>
    <t>Operators must understand the fundamentals of centrifuges to effectively operate them and achieve high solids capture and high percent solids cake.</t>
  </si>
  <si>
    <t>Wastewater and collection systems have the potential to generate odors.  Understanding why odors are generated and how to control them is useful for operators.</t>
  </si>
  <si>
    <t>Operators often conduct their own on-site testing or are reviewing data supplied by other labs.  Production of accurate, legally defensible data is required for permit compliance and protection of public health.</t>
  </si>
  <si>
    <t>Thirty minutes of math problems covering the areas and volumes of tanks.  We even show you how to do the dreaded "paint the tank" problem.  Participants watch short videos demonstrating how to solve several different geometry problems.  After each example, participants are asked to try a problem of the same type of their own and enter the answer in a quiz.</t>
  </si>
  <si>
    <t>This course covers operation of trickling filters (TFs) and rotating biological contactors (RBC).  The individual components of each process are discussed along with their functions. Biological processes taking place in aerobic, facultative, and anaerobic biofilm layers are discussed along with typical operating ranges, process control strategies, and troubleshooting. This course is supplemented with many photographs showing different technologies with descriptions of the functions of various pieces such as the plenum, underdrain, and distributors.</t>
  </si>
  <si>
    <t>Trickling filters and RBCs are used to treat wastewater.  Operators must understand fundamental principals to operate these systems.</t>
  </si>
  <si>
    <t>Lagoons and constructed wetlands are used to treat wastewater.  Operators must understand fundamental principals to operate these systems.</t>
  </si>
  <si>
    <t>This presentation combines material from our lagoons and fixed film courses. Components, operation, maintenance, and troubleshooting for each process type are presented.  If you are looking for lagoon information specifically, please take our Lagoons and Wetlands course instead.</t>
  </si>
  <si>
    <t>If activated sludge has never made sense to you, but engines and other mechanical devices do, then this is the course for you.  This course introduces participants to the basics of activated sludge. Inspired by the chief of maintenance at a Colorado WWTP, this course looks at activated sludge from a mechanical perspective and introduces bacteria as the little combustion engines that they are.  Seeing the mechanical inputs makes the inner workings of activated sludge crystal clear. Covers concepts of sludge age, food-to-microorganism ratio, and relationships between process control variables.</t>
  </si>
  <si>
    <t>This course gives an in-depth discussion of secondary clarifier state point analysis which is a mathematical model used to predict secondary clarifier performance based on sludge settling characteristics, solids loading rate, surface overflow rate, and return activated sludge rate.  Participants can download the model for later use.</t>
  </si>
  <si>
    <t>This presentation discusses the sources of odors in water and wastewater treatment, the chemical composition of different odor causing compounds, and methods for odor control.  Odors may be controlled by preventing formation, masking, filtering, or processing biologically.</t>
  </si>
  <si>
    <t xml:space="preserve"> 6dp3-dpez</t>
  </si>
  <si>
    <t>7nmw-sr80</t>
  </si>
  <si>
    <t>2jvn-4jzb</t>
  </si>
  <si>
    <t>6dp3-dphb</t>
  </si>
  <si>
    <t>8xkq-7t41</t>
  </si>
  <si>
    <t>a7ij-muuw</t>
  </si>
  <si>
    <t>8xkq-7t49</t>
  </si>
  <si>
    <t>19xt-pi69</t>
  </si>
  <si>
    <t>bhgd-1wr3</t>
  </si>
  <si>
    <t>6dp3-dpfx</t>
  </si>
  <si>
    <t>2jvn-4jz3</t>
  </si>
  <si>
    <t>7nmw-srad</t>
  </si>
  <si>
    <t>a7ij-muw5</t>
  </si>
  <si>
    <t>8xkq-7t2h</t>
  </si>
  <si>
    <t>19xt-pi3n</t>
  </si>
  <si>
    <t>3ttg-jlqy</t>
  </si>
  <si>
    <t>bhgd-1wpz</t>
  </si>
  <si>
    <t>7nmw-sr91</t>
  </si>
  <si>
    <t>a7ij-muwn</t>
  </si>
  <si>
    <t>19xt-pi3k</t>
  </si>
  <si>
    <t>3ttg-jlqj</t>
  </si>
  <si>
    <t>a7ij-muvx</t>
  </si>
  <si>
    <t>2.0 Safety</t>
  </si>
  <si>
    <t>1.5 Safety</t>
  </si>
  <si>
    <t>53r9-ynk5</t>
  </si>
  <si>
    <t>6dp3-dpe1</t>
  </si>
  <si>
    <t>6dp3-dpe6</t>
  </si>
  <si>
    <t>bhgd-1wpg</t>
  </si>
  <si>
    <t>7nmw-sr7r</t>
  </si>
  <si>
    <t>a7ij-muvr</t>
  </si>
  <si>
    <t>7nmw-sr7h</t>
  </si>
  <si>
    <t>a7ij-muv7</t>
  </si>
  <si>
    <t>6dp3-dpdt</t>
  </si>
  <si>
    <t>a7ij-muuz</t>
  </si>
  <si>
    <t>6dp3-dpdr</t>
  </si>
  <si>
    <t>a7ij-muuq</t>
  </si>
  <si>
    <t>a7ij-muut</t>
  </si>
  <si>
    <t>7nmw-sr73</t>
  </si>
  <si>
    <t>2jvn-4jvw</t>
  </si>
  <si>
    <t>ECY22-3148</t>
  </si>
  <si>
    <t>ECY22-3147</t>
  </si>
  <si>
    <t>ECY22-3146</t>
  </si>
  <si>
    <t>ECY22-3145</t>
  </si>
  <si>
    <t>ECY22-3144</t>
  </si>
  <si>
    <t>ECY22-3143</t>
  </si>
  <si>
    <t>ECY22-3142</t>
  </si>
  <si>
    <t>ECY22-3141</t>
  </si>
  <si>
    <t>ECY22-3140</t>
  </si>
  <si>
    <t>ECY22-3139</t>
  </si>
  <si>
    <t>ECY22-3101</t>
  </si>
  <si>
    <t>ECY22-3102</t>
  </si>
  <si>
    <t>ECY22-3103</t>
  </si>
  <si>
    <t>ECY22-3104</t>
  </si>
  <si>
    <t>ECY22-3105</t>
  </si>
  <si>
    <t>ECY22-3106</t>
  </si>
  <si>
    <t>ECY22-3107</t>
  </si>
  <si>
    <t>ECY22-3108</t>
  </si>
  <si>
    <t>ECY22-3109</t>
  </si>
  <si>
    <t>ECY22-3110</t>
  </si>
  <si>
    <t>ECY22-3111</t>
  </si>
  <si>
    <t>ECY22-3112</t>
  </si>
  <si>
    <t>ECY22-3113</t>
  </si>
  <si>
    <t>ECY22-3114</t>
  </si>
  <si>
    <t>ECY22-3115</t>
  </si>
  <si>
    <t>ECY22-3116</t>
  </si>
  <si>
    <t>ECY22-3117</t>
  </si>
  <si>
    <t>ECY22-3118</t>
  </si>
  <si>
    <t>ECY22-3119</t>
  </si>
  <si>
    <t>ECY22-3120</t>
  </si>
  <si>
    <t>ECY22-3123</t>
  </si>
  <si>
    <t>ECY22-3124</t>
  </si>
  <si>
    <t>ECY22-3125</t>
  </si>
  <si>
    <t>ECY22-3126</t>
  </si>
  <si>
    <t>ECY22-3127</t>
  </si>
  <si>
    <t>ECY22-3128</t>
  </si>
  <si>
    <t>ECY22-3129</t>
  </si>
  <si>
    <t>ECY22-3130</t>
  </si>
  <si>
    <t>ECY22-3131</t>
  </si>
  <si>
    <t>ECY22-3132</t>
  </si>
  <si>
    <t>ECY22-3133</t>
  </si>
  <si>
    <t>ECY22-3134</t>
  </si>
  <si>
    <t>ECY22-3135</t>
  </si>
  <si>
    <t>ECY22-3136</t>
  </si>
  <si>
    <t>ECY22-3137</t>
  </si>
  <si>
    <t>ECY22-3138</t>
  </si>
  <si>
    <t>ECY22-3122</t>
  </si>
  <si>
    <t>ALL-011</t>
  </si>
  <si>
    <t>Backflow Preventers</t>
  </si>
  <si>
    <t xml:space="preserve">This very brief course is to introduce operators to the different types of backflow preventers, how they work, and where you might see them installed.  After completing this course, you should be able to recognize the risks of backflow from back pressure and back siphonage. </t>
  </si>
  <si>
    <t>List the five types of backflow preventers used to prevent cross-connections.</t>
  </si>
  <si>
    <t>Define back pressure and back siphonage.</t>
  </si>
  <si>
    <t>Explain how each type of backflow preventer works and describe their components.</t>
  </si>
  <si>
    <t xml:space="preserve">This course covers three colorimetric test methods commonly performed at drinking water and wastewater treatment facilities using a hand-held pocket colorimeter.  The procedures for each test method are presented step-by-step in accordance with the requirements and guidelines set forth in Standard Methods including required quality assurance and quality control samples.  This course includes a discussion of the chemistry behind each test method and potential interferences.  The course concludes with a discussion of required QA/QC samples.  </t>
  </si>
  <si>
    <t xml:space="preserve">This course covers three ion-selective test methods commonly performed at drinking water and wastewater treatment facilities.  The procedures for each test method are presented step-by-step in accordance with the requirements and guidelines set forth in Standard Methods including required quality assurance and quality control samples.  This course includes a discussion of the chemistry behind each test method and potential interferences.  The course concludes with a discussion of required QA/QC samples.  </t>
  </si>
  <si>
    <t>22-08959-001</t>
  </si>
  <si>
    <t>22-08960-001</t>
  </si>
  <si>
    <t>22-08961-001</t>
  </si>
  <si>
    <t># Slides</t>
  </si>
  <si>
    <t>Lagoons</t>
  </si>
  <si>
    <t>Fixed Film</t>
  </si>
  <si>
    <t>Laboratory</t>
  </si>
  <si>
    <t>CO_Number_2023</t>
  </si>
  <si>
    <t>Colorado Approval No.
2023</t>
  </si>
  <si>
    <t>23-05991-001</t>
  </si>
  <si>
    <t>23-05993-001</t>
  </si>
  <si>
    <t>23-05994-001</t>
  </si>
  <si>
    <t>23-05995-002</t>
  </si>
  <si>
    <t>23-05996-001</t>
  </si>
  <si>
    <t>23-08959-001</t>
  </si>
  <si>
    <t>23-05998-001</t>
  </si>
  <si>
    <t>23-05999-001</t>
  </si>
  <si>
    <t>23-06000-002</t>
  </si>
  <si>
    <t>23-06001-002</t>
  </si>
  <si>
    <t>23-06009-001</t>
  </si>
  <si>
    <t>23-07727-001</t>
  </si>
  <si>
    <t>23-08900-001</t>
  </si>
  <si>
    <t>23-08901-001</t>
  </si>
  <si>
    <t>23-06018-001</t>
  </si>
  <si>
    <t>23-08902-001</t>
  </si>
  <si>
    <t>23-05983-002</t>
  </si>
  <si>
    <t>23-05984-002</t>
  </si>
  <si>
    <t>23-05985-002</t>
  </si>
  <si>
    <t>23-05986-002</t>
  </si>
  <si>
    <t>23-05987-001</t>
  </si>
  <si>
    <t>23-05990-001</t>
  </si>
  <si>
    <t>23-06046-002</t>
  </si>
  <si>
    <t>23-05988-001</t>
  </si>
  <si>
    <t>23-05997-001</t>
  </si>
  <si>
    <t>23-06005-001</t>
  </si>
  <si>
    <t>23-06672-001</t>
  </si>
  <si>
    <t>23-05992-001</t>
  </si>
  <si>
    <t>23-06008-001</t>
  </si>
  <si>
    <t>23-06020-001</t>
  </si>
  <si>
    <t>23-06025-001</t>
  </si>
  <si>
    <t>23-07222-001</t>
  </si>
  <si>
    <t>23-06034-002</t>
  </si>
  <si>
    <t>Preliminary / Primary Treatment</t>
  </si>
  <si>
    <t>Disinfection</t>
  </si>
  <si>
    <t>Aerobic Digestion</t>
  </si>
  <si>
    <t>Anaerobic Digestion</t>
  </si>
  <si>
    <t>Thickening</t>
  </si>
  <si>
    <t>Dewatering - Belt Filter Presses</t>
  </si>
  <si>
    <t>Dewatering - Centrifuges</t>
  </si>
  <si>
    <t>Solids Handling Math</t>
  </si>
  <si>
    <t>Activated Sludge Math</t>
  </si>
  <si>
    <t>Slides</t>
  </si>
  <si>
    <t>Activated Sludge Microbiology</t>
  </si>
  <si>
    <t>Intro to Activated Sludge</t>
  </si>
  <si>
    <t>Activated Sludge Process Control</t>
  </si>
  <si>
    <t>Compare and contrast three methods for measuring total suspended solids: gravimetric analysis, TSS meter, and centrifuge spins.  Comment on the relative accuracy of each method.</t>
  </si>
  <si>
    <t>Correctly set up and execute the gravimetric total suspended solids procedure for analysis of wastewater samples including required QA/QC.</t>
  </si>
  <si>
    <t>Calculate total suspended solids concentrations from raw laboratory data.  Interprete QA/QC sample results and take corrective action.</t>
  </si>
  <si>
    <t>7 mm</t>
  </si>
  <si>
    <t>9 mm</t>
  </si>
  <si>
    <t>This course focuses specifically on aerobic and anaerobic digestion with a focus on biology, components (parts and purpose including lids, gas collection, mixing techniques, heat exchangers, and more), typical design and operating criteria, indications of souring, and process control calculations specific to anaerobic digestion. Course closes with two case studies to walk operators through two troubleshooting scenarios.</t>
  </si>
  <si>
    <t>Different types of activated sludge systems are discussed with a focus on flow patterns (complete mix, plug flow, batch) versus operational method (pureox, conventional, extended aeration, step feed, high rate, etc.). Simple process diagrams and photographs of each process type are included.  Clarifier flow patterns, sludge collection mechanisms, and weir / launder arrangements are discussed.  Finally, we look at common configurations for activated sludge processes that remove nutrients to low levels including the modified Ludzack-Ettinger process, University of Cape Town process, and others.  Pros and cons of each type of system and their associated treatment objectives are also discussed.</t>
  </si>
  <si>
    <t>Industrial Wastewater Treatment</t>
  </si>
  <si>
    <t>IND-001</t>
  </si>
  <si>
    <t>IND-002</t>
  </si>
  <si>
    <t>IND-003</t>
  </si>
  <si>
    <t>IND-004</t>
  </si>
  <si>
    <t>IND-005</t>
  </si>
  <si>
    <t>IND-006</t>
  </si>
  <si>
    <t>IND-007</t>
  </si>
  <si>
    <t>IND-008</t>
  </si>
  <si>
    <t>IND-009</t>
  </si>
  <si>
    <t>IND-010</t>
  </si>
  <si>
    <t>MT_Water</t>
  </si>
  <si>
    <t>MT_Wastewater</t>
  </si>
  <si>
    <t>MT_Dual</t>
  </si>
  <si>
    <t>Montana Water CECs</t>
  </si>
  <si>
    <t>Montana Wastewater CECs</t>
  </si>
  <si>
    <t>Montana Dual CECs</t>
  </si>
  <si>
    <t>TN_Activity_Number</t>
  </si>
  <si>
    <t>Tennessee Activity Number</t>
  </si>
  <si>
    <t>TN_WW_hrs</t>
  </si>
  <si>
    <t>TN_WT_hrs</t>
  </si>
  <si>
    <t>TN_DS_hrs</t>
  </si>
  <si>
    <t>TN_CS_hrs</t>
  </si>
  <si>
    <t>Tennessee Wastewater Hours</t>
  </si>
  <si>
    <t>Tennessee Water Hours</t>
  </si>
  <si>
    <t>Tennessee Distribution Hours</t>
  </si>
  <si>
    <t>Tennessee Collection Systems Hours</t>
  </si>
  <si>
    <t>This course fulfills the requirement under Colorado Regulation 100 for all operators to complete a regulatory training course that matches their certification type prior to renewing a certification, applying to sit for a certification exam, or when requesting reciprocity from another state or agency.</t>
  </si>
  <si>
    <t>23-06003-001</t>
  </si>
  <si>
    <t>23-06004-001</t>
  </si>
  <si>
    <t>23-06023-001</t>
  </si>
  <si>
    <t>23-06024-001</t>
  </si>
  <si>
    <t>23-06026-001</t>
  </si>
  <si>
    <t>23-06028-001</t>
  </si>
  <si>
    <t>23-06030-001</t>
  </si>
  <si>
    <t>23-06033-001</t>
  </si>
  <si>
    <t>23-06035-001</t>
  </si>
  <si>
    <t>23-06037-001</t>
  </si>
  <si>
    <t>23-06038-001</t>
  </si>
  <si>
    <t>23-06039-001</t>
  </si>
  <si>
    <t>23-06696-001</t>
  </si>
  <si>
    <t>23-06743-002</t>
  </si>
  <si>
    <t>23-06840-002</t>
  </si>
  <si>
    <t>23-07639-001</t>
  </si>
  <si>
    <t>23-07704-001</t>
  </si>
  <si>
    <t>23-07745-001</t>
  </si>
  <si>
    <t>23-08960-001</t>
  </si>
  <si>
    <t>23-06006-001</t>
  </si>
  <si>
    <t>23-06007-001</t>
  </si>
  <si>
    <t>23-06010-001</t>
  </si>
  <si>
    <t>23-06011-002</t>
  </si>
  <si>
    <t>23-06012-001</t>
  </si>
  <si>
    <t>23-06015-001</t>
  </si>
  <si>
    <t>23-06016-001</t>
  </si>
  <si>
    <t>23-06019-001</t>
  </si>
  <si>
    <t>23-06022-002</t>
  </si>
  <si>
    <t>23-06017-001</t>
  </si>
  <si>
    <t>23-06036-001</t>
  </si>
  <si>
    <t>23-07362-001</t>
  </si>
  <si>
    <t>23-07363-001</t>
  </si>
  <si>
    <t>23-07709-001</t>
  </si>
  <si>
    <t>23-07744-001</t>
  </si>
  <si>
    <t>23-08961-001</t>
  </si>
  <si>
    <t>23-06032-001</t>
  </si>
  <si>
    <t>Wastewater Exam Cram</t>
  </si>
  <si>
    <t>Max</t>
  </si>
  <si>
    <t>Gimkit Review</t>
  </si>
  <si>
    <t>Day 1 Total</t>
  </si>
  <si>
    <t>Laboratory Testing - pH, alkalinity, and BOD</t>
  </si>
  <si>
    <t>Laboratory Testing - Total Suspended Solids</t>
  </si>
  <si>
    <t>Day 2 Total</t>
  </si>
  <si>
    <t>Day 1 Topics</t>
  </si>
  <si>
    <t>Day 2 Topics</t>
  </si>
  <si>
    <t>Day 3 Topics</t>
  </si>
  <si>
    <t>Day 3 Total</t>
  </si>
  <si>
    <t>Day 4 Topics</t>
  </si>
  <si>
    <t>Day 4 Total</t>
  </si>
  <si>
    <t>Sequencing Batch Reactors (under construction)</t>
  </si>
  <si>
    <t>UV Disinfection (under construction)</t>
  </si>
  <si>
    <t>NV22-133</t>
  </si>
  <si>
    <t>NV22-134</t>
  </si>
  <si>
    <t>NV22-135</t>
  </si>
  <si>
    <t>NV22-136</t>
  </si>
  <si>
    <t>NV22-137</t>
  </si>
  <si>
    <t>NV22-138</t>
  </si>
  <si>
    <t>NV22-139</t>
  </si>
  <si>
    <t>NV22-109</t>
  </si>
  <si>
    <t>NV22-110</t>
  </si>
  <si>
    <t>NV22-111</t>
  </si>
  <si>
    <t>NV22-112</t>
  </si>
  <si>
    <t>NV22-113</t>
  </si>
  <si>
    <t>NV22-114</t>
  </si>
  <si>
    <t>NV22-115</t>
  </si>
  <si>
    <t>NV22-116</t>
  </si>
  <si>
    <t>NV22-117</t>
  </si>
  <si>
    <t>NV22-118</t>
  </si>
  <si>
    <t>NV22-119</t>
  </si>
  <si>
    <t>NV22-120</t>
  </si>
  <si>
    <t>NV22-121</t>
  </si>
  <si>
    <t>NV22-122</t>
  </si>
  <si>
    <t>NV22-123</t>
  </si>
  <si>
    <t>NV22-124</t>
  </si>
  <si>
    <t>NV22-125</t>
  </si>
  <si>
    <t>NV22-126</t>
  </si>
  <si>
    <t>NV22-127</t>
  </si>
  <si>
    <t>NV22-128</t>
  </si>
  <si>
    <t>NV22-129</t>
  </si>
  <si>
    <t>NV22-130</t>
  </si>
  <si>
    <t>NV22-131</t>
  </si>
  <si>
    <t>NV22-132</t>
  </si>
  <si>
    <t>NV22-140</t>
  </si>
  <si>
    <t>NV22-141</t>
  </si>
  <si>
    <t>NV22-142</t>
  </si>
  <si>
    <t>NV22-143</t>
  </si>
  <si>
    <t>NV22-144</t>
  </si>
  <si>
    <t>NV22-145</t>
  </si>
  <si>
    <t>NV22-146</t>
  </si>
  <si>
    <t>NV22-147</t>
  </si>
  <si>
    <t>NV22-148</t>
  </si>
  <si>
    <t>NV22-149</t>
  </si>
  <si>
    <t>NV22-150</t>
  </si>
  <si>
    <t>NV22-151</t>
  </si>
  <si>
    <t>NV22-152</t>
  </si>
  <si>
    <t>NV22-153</t>
  </si>
  <si>
    <t>NV22-154</t>
  </si>
  <si>
    <t>NV22-155</t>
  </si>
  <si>
    <t>NV22-156</t>
  </si>
  <si>
    <t>NV22-157</t>
  </si>
  <si>
    <t>NV22-158</t>
  </si>
  <si>
    <t>NV22-159</t>
  </si>
  <si>
    <t>NV22-160</t>
  </si>
  <si>
    <t>NV22-161</t>
  </si>
  <si>
    <t>NV22-162</t>
  </si>
  <si>
    <t>NV22-163</t>
  </si>
  <si>
    <t>NV22-164</t>
  </si>
  <si>
    <t>NV22-165</t>
  </si>
  <si>
    <t>NV22-166</t>
  </si>
  <si>
    <t>NV22-167</t>
  </si>
  <si>
    <t>NV22-168</t>
  </si>
  <si>
    <t>NV22-169</t>
  </si>
  <si>
    <t>NV22-170</t>
  </si>
  <si>
    <t>NV22-171</t>
  </si>
  <si>
    <t>R23123</t>
  </si>
  <si>
    <t>R23124</t>
  </si>
  <si>
    <t>R23125</t>
  </si>
  <si>
    <t>R23126</t>
  </si>
  <si>
    <t>R23127</t>
  </si>
  <si>
    <t>R23128</t>
  </si>
  <si>
    <t>R23129</t>
  </si>
  <si>
    <t>R23130</t>
  </si>
  <si>
    <t>R23131</t>
  </si>
  <si>
    <t>R23132</t>
  </si>
  <si>
    <t>R23133</t>
  </si>
  <si>
    <t>R23134</t>
  </si>
  <si>
    <t>R23135</t>
  </si>
  <si>
    <t>R23136</t>
  </si>
  <si>
    <t>R23137</t>
  </si>
  <si>
    <t>R23138</t>
  </si>
  <si>
    <t>R23139</t>
  </si>
  <si>
    <t>R23140</t>
  </si>
  <si>
    <t>R23141</t>
  </si>
  <si>
    <t>R23142</t>
  </si>
  <si>
    <t>R23143</t>
  </si>
  <si>
    <t>R23144</t>
  </si>
  <si>
    <t>R23145</t>
  </si>
  <si>
    <t>R23146</t>
  </si>
  <si>
    <t>R23147</t>
  </si>
  <si>
    <t>R23148</t>
  </si>
  <si>
    <t>R23149</t>
  </si>
  <si>
    <t>R23150</t>
  </si>
  <si>
    <t>R23151</t>
  </si>
  <si>
    <t>R23152</t>
  </si>
  <si>
    <t>R23153</t>
  </si>
  <si>
    <t>R23154</t>
  </si>
  <si>
    <t>R23155</t>
  </si>
  <si>
    <t>R23156</t>
  </si>
  <si>
    <t>R23157</t>
  </si>
  <si>
    <t>R23158</t>
  </si>
  <si>
    <t>R23159</t>
  </si>
  <si>
    <t>R23160</t>
  </si>
  <si>
    <t>R23161</t>
  </si>
  <si>
    <t>R23162</t>
  </si>
  <si>
    <t>R23163</t>
  </si>
  <si>
    <t>R23164</t>
  </si>
  <si>
    <t>R23165</t>
  </si>
  <si>
    <t>R23166</t>
  </si>
  <si>
    <t>R23167</t>
  </si>
  <si>
    <t>R23168</t>
  </si>
  <si>
    <t>R23169</t>
  </si>
  <si>
    <t>R23170</t>
  </si>
  <si>
    <t>R23171</t>
  </si>
  <si>
    <t>R23172</t>
  </si>
  <si>
    <t>R23173</t>
  </si>
  <si>
    <t>R23174</t>
  </si>
  <si>
    <t>R23175</t>
  </si>
  <si>
    <t>R23176</t>
  </si>
  <si>
    <t>R23177</t>
  </si>
  <si>
    <t>R23178</t>
  </si>
  <si>
    <t>R23179</t>
  </si>
  <si>
    <t>R23180</t>
  </si>
  <si>
    <t>R23181</t>
  </si>
  <si>
    <t>R23182</t>
  </si>
  <si>
    <t>R23183</t>
  </si>
  <si>
    <t>Completing the Discharge Monitoring Report (under construction)</t>
  </si>
  <si>
    <t>Laboratory - TDS, Conductivity, and Turbidity</t>
  </si>
  <si>
    <t>5961-16-07</t>
  </si>
  <si>
    <t>NV22-173</t>
  </si>
  <si>
    <t>NV22-174</t>
  </si>
  <si>
    <t>Laboratory Testing - Total coliforms by MPN (under construction)</t>
  </si>
  <si>
    <t>1. Biological Treatment Basics</t>
  </si>
  <si>
    <t>2. Activated Sludge Process Control</t>
  </si>
  <si>
    <t>3. Activated Sludge Microbiology</t>
  </si>
  <si>
    <t>4. Nitrogen Removal</t>
  </si>
  <si>
    <t>5. Phosphorus Removal</t>
  </si>
  <si>
    <t>WWT23-3430-T01-G00</t>
  </si>
  <si>
    <t>WWT23-3431-T0.5-G00</t>
  </si>
  <si>
    <t>WWT23-3432-T0.5-G00</t>
  </si>
  <si>
    <t>WWT23-3434-T01-G00</t>
  </si>
  <si>
    <t>WWT23-3437-T02-G00</t>
  </si>
  <si>
    <t>WWT23-3439-T02-G00</t>
  </si>
  <si>
    <t>WWT23-3443-T02-G00</t>
  </si>
  <si>
    <t>WWT23-3444-T02-G00</t>
  </si>
  <si>
    <t>WWT23-3449-T02-G00</t>
  </si>
  <si>
    <t>WWT23-3450-T03-G00</t>
  </si>
  <si>
    <t>WWT23-3452-T00-G2.5</t>
  </si>
  <si>
    <t>WWT23-3453-T00-G1 .5</t>
  </si>
  <si>
    <t>WWT23-3456-T00-G01</t>
  </si>
  <si>
    <t xml:space="preserve">WWT23-3461-T02-G00 </t>
  </si>
  <si>
    <t>WWT23-3462-T02-G00</t>
  </si>
  <si>
    <t>WWT23-3467-T02-G00</t>
  </si>
  <si>
    <t>WWT23-3468-T03-G00</t>
  </si>
  <si>
    <t>WWT23-3482-T02-G00</t>
  </si>
  <si>
    <t>WWT23-3483-T02-G00</t>
  </si>
  <si>
    <t>WWT23-3484-T00-G02</t>
  </si>
  <si>
    <t>WWT23-3486-T00-G02</t>
  </si>
  <si>
    <t>WWT23-3488-T00-G02</t>
  </si>
  <si>
    <t>WWT23-3489-T02-G00</t>
  </si>
  <si>
    <t>WWT23-3490-T02-G00</t>
  </si>
  <si>
    <t>WWT23-3491-T1 .5-G00</t>
  </si>
  <si>
    <t>WWT23-3492-T1 .5-G00</t>
  </si>
  <si>
    <t>WWT23-3493-T0. 5-G00</t>
  </si>
  <si>
    <t>Laboratory Testing - Biochemical Oxygen Demand</t>
  </si>
  <si>
    <t>WWT23-3433-T0.5-G00</t>
  </si>
  <si>
    <t>WWT23-3435-T1.5-G00</t>
  </si>
  <si>
    <t>WWT23-3436-T0.5-G00</t>
  </si>
  <si>
    <t>WWT23-3438-T1.5-G00</t>
  </si>
  <si>
    <t>WWT23-3440-T2.5-G00</t>
  </si>
  <si>
    <t>WWT23-3441-T00-G1.5</t>
  </si>
  <si>
    <t>WWT23-3442-T1.5-G00</t>
  </si>
  <si>
    <t>WWT23-3445-T00-G0.5</t>
  </si>
  <si>
    <t>WWT23-3446-T1.5-G00</t>
  </si>
  <si>
    <t>WWT23-344 7-T2.5-G00</t>
  </si>
  <si>
    <t>WWT23-3448-T2.5-G00</t>
  </si>
  <si>
    <t>WWT23-3451-T1.5-G00</t>
  </si>
  <si>
    <t>WWT23-3454-T00-G1.5</t>
  </si>
  <si>
    <t>WWT23-3455-T00-G1.5</t>
  </si>
  <si>
    <t>WWT23-3457 -T00-G2.5</t>
  </si>
  <si>
    <t>WWT23-3458-T00-G2.5</t>
  </si>
  <si>
    <t>WWT23-3459-T00-G1.5</t>
  </si>
  <si>
    <t>WWT23-3460-T00-G2.5</t>
  </si>
  <si>
    <t>WWT23-3463-T1.5-G00</t>
  </si>
  <si>
    <t>WWT23-3464-T1.5-G00</t>
  </si>
  <si>
    <t>WWT23-3465-T1.5-G00</t>
  </si>
  <si>
    <t>WWT23-3466-T2.5-G00</t>
  </si>
  <si>
    <t>WWT23-3469-T2.5-G00</t>
  </si>
  <si>
    <t>WWT23-3470-T2.5-G00</t>
  </si>
  <si>
    <t>WWT23-3471-T01-G00</t>
  </si>
  <si>
    <t>WWT23-3472-T01-G00</t>
  </si>
  <si>
    <t>WWT23-3473-T01-G00</t>
  </si>
  <si>
    <t>WWT23-3474-T1.5-G00</t>
  </si>
  <si>
    <t>WWT23-3475-T2.5-G00</t>
  </si>
  <si>
    <t>WWT23-3476-T02-G00</t>
  </si>
  <si>
    <t>WWT23-3477-T1. 5-G00</t>
  </si>
  <si>
    <t>WWT23-3478-T2. 5-G00</t>
  </si>
  <si>
    <t>WWT23-3479-T02-G00</t>
  </si>
  <si>
    <t>WWT23-3480-T1.5-G00</t>
  </si>
  <si>
    <t>WWT23-3481-T2.5-G00</t>
  </si>
  <si>
    <t>WWT23-3485-T1.5-G00</t>
  </si>
  <si>
    <t>WWT23-3487-T00-G2.5</t>
  </si>
  <si>
    <t>WWT23-3494-T01-G00</t>
  </si>
  <si>
    <t>WWT23-3495-T1.5-G00</t>
  </si>
  <si>
    <t>23-09382-001</t>
  </si>
  <si>
    <t>23-09381-001</t>
  </si>
  <si>
    <t>23-09378-001</t>
  </si>
  <si>
    <t>W, WW</t>
  </si>
  <si>
    <t>SAF-003</t>
  </si>
  <si>
    <t>Lockout / Tagout</t>
  </si>
  <si>
    <t>23-09451-001</t>
  </si>
  <si>
    <t>Aeration Systems</t>
  </si>
  <si>
    <t>SAF-004</t>
  </si>
  <si>
    <t>Identify when use of a demolition saw is an appropriate use.</t>
  </si>
  <si>
    <t>Safely use a demolition saw.</t>
  </si>
  <si>
    <t>Maintain demolition saws.</t>
  </si>
  <si>
    <t>Troubleshoot common problems encountered with demolition saws.</t>
  </si>
  <si>
    <t>This one hour course walks attendees through OSHA requirements for lockout/tagout.</t>
  </si>
  <si>
    <t>Define lockout/tagout</t>
  </si>
  <si>
    <t>Identify sources &amp; types of hazardous energy</t>
  </si>
  <si>
    <t>Recognize causes of injuries/fatalities</t>
  </si>
  <si>
    <t>Select maintenance &amp; service examples</t>
  </si>
  <si>
    <t>List lockout steps/procedures</t>
  </si>
  <si>
    <t>Identify employer responsibility for training &amp; safety as well as employee responsibilities</t>
  </si>
  <si>
    <t>Recall when lockout/tagout applies</t>
  </si>
  <si>
    <t>Identify types of lockout devices and tags</t>
  </si>
  <si>
    <t>Distinguish between required lockout and/or tagout procedures</t>
  </si>
  <si>
    <t>An introduction to different types of aeration equipment used in wastewater treatment plants. Blower types, their components, and maintenance requirements are discussed along with aeration system piping and diffuser types. Attendees will learn the difference between surge and choke and what causes each condition. Different types of mechanical aerators are discussed, how they function, and the pros and cons of each.</t>
  </si>
  <si>
    <t>23-09506-001</t>
  </si>
  <si>
    <t>Preliminary Treatment</t>
  </si>
  <si>
    <t>23-09505-001</t>
  </si>
  <si>
    <t>This course covers preliminary treatment in wastewater treatment plants including screening and grit removal.  Screen types discussed include trash racks, traditional mechanical screens, catenary screens, band screens, step screens, and others.  Grit removal includes detritus tanks, velocity control tanks, and vortex type.</t>
  </si>
  <si>
    <t>Membranes for Water and Wastewater Treatment (under construction)</t>
  </si>
  <si>
    <t>List the functions of aeration equipment in biological treatment processes.</t>
  </si>
  <si>
    <t>List the components of a diffused aeration system and give the functions of each.</t>
  </si>
  <si>
    <t>Explain the differences in blower curves (pressure vs output) for centrifugal and positive displacement blowers.</t>
  </si>
  <si>
    <t>Explain what surge is and the conditions that can create it in a centrifugal blower.</t>
  </si>
  <si>
    <t>Explain what choke is and the conditions that can create it in a centrifugal blower.</t>
  </si>
  <si>
    <t>Understand the differences between single-stage, multi-stage, and turbo blowers.</t>
  </si>
  <si>
    <t>Perform maintenance tasks for centrifugal and positive displacement blowers.</t>
  </si>
  <si>
    <t>List the different types of diffusers and the type of air bubbles they produce.</t>
  </si>
  <si>
    <t>Understand how various mechanical aerators function.</t>
  </si>
  <si>
    <t>Collection and distribution system operators use demolition saws to cut asphalt and pipe and to put bevels on pipe. This critical piece of equipment can be life threatening if not used correctly and safely. This course covers when a demolition saw may be used, the types of materials that may be cut using a demolition saw, maintenance of demolition saws, and basic troubleshooting.</t>
  </si>
  <si>
    <t>List characteristics of grit and screenings.</t>
  </si>
  <si>
    <t>Explain why grit and screenings should be removed.</t>
  </si>
  <si>
    <t>Identify different screen types and give characteristics of each.</t>
  </si>
  <si>
    <t>Compare and contrast trash racks, bar screens, and fine screens.</t>
  </si>
  <si>
    <t>Identify different types of grit basins and explain how they work.</t>
  </si>
  <si>
    <t>Explain how velocity is used to separate grit from organic material.</t>
  </si>
  <si>
    <t>Explain why washing is used to recover organic material from screenings and grit.</t>
  </si>
  <si>
    <t>Make process control adjustments based on microscopic observations.</t>
  </si>
  <si>
    <t>This is part 2 of a series of on-line training classes taught from ACRP's book "Introduction to Small Water Systems".  Water Sources is broken into two on-line training courses labeled as Part 1 and Part 2.  Part 1 discusses surface water sources, raw water storage (reservoirs and tanks), source water management, source water quality problems, reservoir management, stratification of reservoirs, and surface water intake structures.</t>
  </si>
  <si>
    <t>List advantages and disadvantages of using surface water.</t>
  </si>
  <si>
    <t>Explain why one surface water source may be preferred over another.</t>
  </si>
  <si>
    <t>Describe physical, chemical, and biological characteristics of source water.</t>
  </si>
  <si>
    <t>Define reservoir management program.</t>
  </si>
  <si>
    <t>List the three types of photosynthetic organisms present in reservoirs.</t>
  </si>
  <si>
    <t>Recognize that taste and odor problems are often related to different types of algae blooms.</t>
  </si>
  <si>
    <t>Explain the impacts of algae on reservoir water quality.</t>
  </si>
  <si>
    <t>Explain why turnover events occur and how to mitigate them.</t>
  </si>
  <si>
    <t>Describe the different types of water intake structures.</t>
  </si>
  <si>
    <t>List the required QA/QC samples for the BOD test and describe the purpose of each.</t>
  </si>
  <si>
    <t xml:space="preserve">This presentation discusses dry pit and wet pit lift stations, pump arrangement, level indicator equipment, and basic lift station operation and maintenance. It includes a brief discussion of confined space entry and the safety hazards that may be present in lift stations. </t>
  </si>
  <si>
    <t>Every water and wastewater plant has a spectrophotometer or colorimater that is used for process control and sometimes for reporting compliance sample results.  Are you using yours correctly?  Learn when a blank, standard, spike, spike duplicate, and other quality assurance and quality control samples are needed, how to interpret results, and the appropriate corrective actions.</t>
  </si>
  <si>
    <t>This test covers the Biochemical Oxygen Demand (BOD) laboratory test.  It walks you through each step including QA/QC and calculations with lots of helpful hints and background.  A deep dive into this Standard Method.</t>
  </si>
  <si>
    <t>WWT23-3496-T1.5-G00</t>
  </si>
  <si>
    <t>WWT23-3497-T00-G01</t>
  </si>
  <si>
    <t>WWT23-3498-T01-G00</t>
  </si>
  <si>
    <t>23-06002-002</t>
  </si>
  <si>
    <t>NV23-515</t>
  </si>
  <si>
    <t>NV23-516</t>
  </si>
  <si>
    <t>NV23-517</t>
  </si>
  <si>
    <t>NV23-518</t>
  </si>
  <si>
    <t>SEO_Title</t>
  </si>
  <si>
    <t>SEO_Description</t>
  </si>
  <si>
    <t>2023 ALL-001 Pumps | indigowatergroup.ispringmarket.com</t>
  </si>
  <si>
    <t>This course discusses the different kinds of pumps used in water and wastewater treatment including centrifugal, positive displacement, peristaltic, and more.</t>
  </si>
  <si>
    <t>2023 ALL-002 Hydraulics Basics | indigowatergroup.ispringmarket.com</t>
  </si>
  <si>
    <t xml:space="preserve">This course discusses basic properties of water including weight, density, pressure, and specific gravity. Conversion of pressure to feet of head is demonstrated.
</t>
  </si>
  <si>
    <t>2023 ALL-003 Pumped Systems | indigowatergroup.ispringmarket.com</t>
  </si>
  <si>
    <t>This presentation discusses hydraulic principles as they relate to pump operation.</t>
  </si>
  <si>
    <t>2023 ALL-004 Aeration Systems | indigowatergroup.ispringmarket.com</t>
  </si>
  <si>
    <t>An introduction to different types of aeration equipment used in wastewater treatment plants. Blower types, their components, and maintenance requirements are discussed.</t>
  </si>
  <si>
    <t>2023 ALL-005 Corrosion Control | indigowatergroup.ispringmarket.com</t>
  </si>
  <si>
    <t>This course discusses corrosion control in drinking water distribution and wastewater treatment and collection systems.</t>
  </si>
  <si>
    <t>2023 ALL-006 Maintenance Programs | indigowatergroup.ispringmarket.com</t>
  </si>
  <si>
    <t>Implementing a focused maintenance program that includes predictive and preventive maintenance strategies is critical for maintaining water and wastewater infrastructure.</t>
  </si>
  <si>
    <t>2023 ALL-007 Electrical &amp; Motors | indigowatergroup.ispringmarket.com</t>
  </si>
  <si>
    <t>Students will learn about the relationships between electricity and magnetism and how generators, DC motors, AC motors, relay switches, and other types of equipment.</t>
  </si>
  <si>
    <t>2023 ALL-008 Rep Sampling | indigowatergroup.ispringmarket.com</t>
  </si>
  <si>
    <t>This course covers the efficient and safe collection of representative samples for water and wastewater systems.</t>
  </si>
  <si>
    <t>2023 ALL-009 Disinfect Byproducts | indigowatergroup.ispringmarket.com</t>
  </si>
  <si>
    <t>This presentation defines disinfection byproducts and discusses the regulations on their levels in drinking water and recycled water.</t>
  </si>
  <si>
    <t>2023 ALL-011 Backflow Preventers | indigowatergroup.ispringmarket.com</t>
  </si>
  <si>
    <t>This very brief course is to introduce operators to the different types of backflow preventers, how they work, and where you might see them installed.</t>
  </si>
  <si>
    <t>2023 COL-001 Collection Systems | indigowatergroup.ispringmarket.com</t>
  </si>
  <si>
    <t>This class presents an overview of the collection system and discusses its primary components and their functions.</t>
  </si>
  <si>
    <t>2023 COL-002 Collection Inspect 1 | indigowatergroup.ispringmarket.com</t>
  </si>
  <si>
    <t>This course (in 2 parts) introduces participants to the purposes and methods of collection system inspection, testing, and cleaning.</t>
  </si>
  <si>
    <t>2023 COL-003 Collection Inspect 2 | indigowatergroup.ispringmarket.com</t>
  </si>
  <si>
    <t>2023 COL-004 Lift Stations | indigowatergroup.ispringmarket.com</t>
  </si>
  <si>
    <t>This presentation discusses dry pit and wet pit lift stations, pump arrangement, level indicator equipment, and basic lift station operation and maintenance.</t>
  </si>
  <si>
    <t>2023 COL-005 Pretreatment and P2 | indigowatergroup.ispringmarket.com</t>
  </si>
  <si>
    <t>This course discusses the industrial pretreatment and pollution prevention programs.</t>
  </si>
  <si>
    <t>2023 COL-006 Manholes | indigowatergroup.ispringmarket.com</t>
  </si>
  <si>
    <t>Manholes provide access points for maintenance, flow monitoring, chemical addition, bypass pumping and more.  Learn all about them in this class.</t>
  </si>
  <si>
    <t>2023 LAB-001 Basic Chemistry | indigowatergroup.ispringmarket.com</t>
  </si>
  <si>
    <t>A full semester of inorganic chemistry compressed down into a 2.5 hour review with examples.</t>
  </si>
  <si>
    <t>2023 LAB-002 pH Alkalinity Hard | indigowatergroup.ispringmarket.com</t>
  </si>
  <si>
    <t>This course walks attendees through the theory behind the pH, alkalinity, and hardness laboratory tests.</t>
  </si>
  <si>
    <t>2023 LAB-003 TDS Cond Turbid | indigowatergroup.ispringmarket.com</t>
  </si>
  <si>
    <t>This course walks attendees through the theory behind the total dissolved solids (TDS), conductivity, and turbidity tests. Step by step procedures for each method.</t>
  </si>
  <si>
    <t>2023 LAB-004 Suspended Solids | indigowatergroup.ispringmarket.com</t>
  </si>
  <si>
    <t>This course covers solids testing for wastewater samples.  Each test method is presented with lots of photographs to walk attendees through the procedures step by step.</t>
  </si>
  <si>
    <t>2023 LAB-005 Spectrophotometers | indigowatergroup.ispringmarket.com</t>
  </si>
  <si>
    <t>Course discusses quality assurance and quality control practices for samples analyzed with colorimeters and spectrophotometers and why various QA/QC samples are needed.</t>
  </si>
  <si>
    <t>2023 LAB-006 Chlorine Residual | indigowatergroup.ispringmarket.com</t>
  </si>
  <si>
    <t>This course covers residual chlorine analysis using either the total chlorine residual OR free chlorine residual DPD method using a hand-held pocket colorimeter.</t>
  </si>
  <si>
    <t>2023 LAB-009 Jar Testing | indigowatergroup.ispringmarket.com</t>
  </si>
  <si>
    <t>This course walks attendees through the fundamentals of jar testing for water and wastewater applications. Calculations for determining mixing energy and sampling times.</t>
  </si>
  <si>
    <t>2023 LAB-010 BOD Testing | indigowatergroup.ispringmarket.com</t>
  </si>
  <si>
    <t>This test covers the theory and practice of the Biochemical Oxygen Demand (BOD) laboratory test.  It walks you through each step.</t>
  </si>
  <si>
    <t>2023 MATH-000 Math Strategies | indigowatergroup.ispringmarket.com</t>
  </si>
  <si>
    <t>Math strategies to help operators be more successful when approaching math problems.</t>
  </si>
  <si>
    <t>2023 MATH-001 Unit Conversions | indigowatergroup.ispringmarket.com</t>
  </si>
  <si>
    <t>2023 MATH-002 Geometry | indigowatergroup.ispringmarket.com</t>
  </si>
  <si>
    <t>Thirty minutes of math problems covering the areas and volumes of tanks.  We even show you how to do the dreaded "paint the tank" problem.</t>
  </si>
  <si>
    <t>2023 MATH-003 Chemical Dosing | indigowatergroup.ispringmarket.com</t>
  </si>
  <si>
    <t>Thirty minutes of math problems focused on chlorine addition -- Dose, Demand, Residual, Pounds per Day, and percent available chlorine are defined.</t>
  </si>
  <si>
    <t>2023 MATH-004 Velocity and HRT | indigowatergroup.ispringmarket.com</t>
  </si>
  <si>
    <t>Sixty minutes of math problems focused on hydraulic detention time and velocity in pipes and open channels.</t>
  </si>
  <si>
    <t>2023 MATH-005 Geometry Velocity | indigowatergroup.ispringmarket.com</t>
  </si>
  <si>
    <t>Ninety minutes of math problems focused on geometry and velocity.  Participants watch problems being solved followed by trying similar problems on their own in quizzes.</t>
  </si>
  <si>
    <t>2023 MATH-006 Dilutions Blending | indigowatergroup.ispringmarket.com</t>
  </si>
  <si>
    <t>Thirty minutes of math problems using the two-normal and three-normal equations to calculate dilutions, dewatering of sludge, and blending of water sources.</t>
  </si>
  <si>
    <t>2023 SAF-001 Trenching &amp; Shoring | indigowatergroup.ispringmarket.com</t>
  </si>
  <si>
    <t>2023 SAF-002 Confined Space Entry | indigowatergroup.ispringmarket.com</t>
  </si>
  <si>
    <t>This course covers confined space entry requirements according to OSHA.</t>
  </si>
  <si>
    <t>2023 SAF-003 Lockout Tagout | indigowatergroup.ispringmarket.com</t>
  </si>
  <si>
    <t>A one-hour course covering some aspects of equipment lockout / tagout.
Approved for TUs in Colorado and CEUs in Ohio. We're working on approvals in other states.</t>
  </si>
  <si>
    <t>2023 SAF-004 Demo Saw Safety | indigowatergroup.ispringmarket.com</t>
  </si>
  <si>
    <t>Collection and distribution system operators use demolition saws to cut asphalt and pipe and to put bevels on pipe. Operation, maintenance, and safety for demo saws.</t>
  </si>
  <si>
    <t>Being able to solve math problems is critical for day to day operations and passing certification exams. Many operators struggle with solving word problems.</t>
  </si>
  <si>
    <t>Unit conversions are universally needed by operators of all classifications in their day to day duties to solve common math problems such as chemical dosing rates.</t>
  </si>
  <si>
    <t>Operators must calculate velocity for open channels, collection systems, grit basins, and clarifiers / sedimentation basins. Hydraulic detention time is used to estimate available treatment capacity in both water and wastewater treatment.</t>
  </si>
  <si>
    <t>Operators must be able to calculate the volumes of tanks as a first step in many different process control calculations like detention time, MCRT, loading rates, etc. Velocity calculations are used in collection systems, grit basins, and sedimentation basins / clarifiers.</t>
  </si>
  <si>
    <t>Water operators use the two and three-normal equations to blend water sources to meet safe drinking water limits. Wastewater operators use these calculations to estimate impacts from sidestreams. They are used in water and wastewater to calculate chemical dosages and to make standards in the laboratory.</t>
  </si>
  <si>
    <t>Aeration systems are used in biological treatment processes to provide oxygen for BOD removal and nitrification. Operators must understand how they work and basic maintenance requirements.</t>
  </si>
  <si>
    <t>Understanding why corrosion occurs and how to prevent it is key to maintaining water and wastewater equipment as well as water quality in the distribution system and infrastructure in collection systems.</t>
  </si>
  <si>
    <t>Water and wastewater operators are expected to have some basic electrical troubleshooting skills, understand how motors and generators work, and know when to call in a qualified electrician.</t>
  </si>
  <si>
    <t>Backflow preventers are critical for preventing back pressure and back siphonage events in distribution systems. All operators are expected to know how these devices operate, how to identify them in the field, and which devices should be used in different situations.</t>
  </si>
  <si>
    <t>Lockout/Tagout is required any time maintenance is performed on energized equipment. All operators should complete a lockout/tagout course at least annually.</t>
  </si>
  <si>
    <t>Collection and distribution system operators use demolition saws to cut asphalt, cut pipe, bevel pipe, and many other tasks.</t>
  </si>
  <si>
    <t>Manhole location, cleaning, and maintenance is routinely performed by wastewater and collection system operators.</t>
  </si>
  <si>
    <t>Introduces operators to different unit processes present in wastewater treatment plants and the interactions that occur between the liquid and solids streams.  All wastewater operators should know this information.</t>
  </si>
  <si>
    <t>Preliminary treatment includes screening and grit removal. Headworks may also include flow equalization and flow measurement. Wastewater operators must understand how these processes work and their importance in keeping debris from passing further into the treatment process where it can damage equipment.</t>
  </si>
  <si>
    <t>Different groups of bacteria are responsible for BOD, ammonia, nitrate, and phosphorus removal from wastewater. Understanding the growth requirements for each group of bacteria are critical to successful operation of a biological wastewater treatment plant.</t>
  </si>
  <si>
    <t>Most wastewater treatment plants beneficially reuse their biosolids through land application. Operators must understand the regulatory structure that governs beneficial reuse.</t>
  </si>
  <si>
    <t>Applicable to industrial wastewater operators and other operators who may be using precipitation chemistry to meet pretreatment or discharge permit limits.</t>
  </si>
  <si>
    <t>Understanding where permit limits originate can assist operators in successfully negotiating permit renewals.</t>
  </si>
  <si>
    <t>Water and wastewater operators must understand basic chemistry to correctly calculate chemical dosages used in treatment. Chemistry aids in understanding water quality parameters such as pH, alkalinity, and hardness.</t>
  </si>
  <si>
    <t>Course_Level</t>
  </si>
  <si>
    <t>Course_Emphasis</t>
  </si>
  <si>
    <t>Course Level</t>
  </si>
  <si>
    <t>Course Emphasis</t>
  </si>
  <si>
    <t>2023 WAT-001 Small Water Systems | indigowatergroup.ispringmarket.com</t>
  </si>
  <si>
    <t>This introduction to small water systems covers major components of water systems and the goals of water treatment.</t>
  </si>
  <si>
    <t>2023 WAT-002 Water Sources Part 1 | indigowatergroup.ispringmarket.com</t>
  </si>
  <si>
    <t>Part 1 discusses surface water sources, raw water storage, source water management, source water quality problems, reservoir management, water quality problems, and more.</t>
  </si>
  <si>
    <t>2023 WAT-003 Water Sources Part 2 | indigowatergroup.ispringmarket.com</t>
  </si>
  <si>
    <t>Part 2 discusses aquifer terminology (confined, unconfined, artesian, zones, porosity, etc.), well location criteria, well components, and turbine pumps.</t>
  </si>
  <si>
    <t>2023 WAT-004 Drinking Water Treat | indigowatergroup.ispringmarket.com</t>
  </si>
  <si>
    <t>2023 WAT-005 Water Disinfection | indigowatergroup.ispringmarket.com</t>
  </si>
  <si>
    <t>This drinking water-focused presentation walks the participant through chlorine chemistry, breakpoint chlorination, disinfection equipment, and chlorine safety.</t>
  </si>
  <si>
    <t>2023 WAT-006 Distribution Systems | indigowatergroup.ispringmarket.com</t>
  </si>
  <si>
    <t>A review of the major components of distribution systems including pipes and materials, valves, hydrants, storage reservoirs, meters, and curb stops.</t>
  </si>
  <si>
    <t>2023 WAT-007 Drinking Water MRT | indigowatergroup.ispringmarket.com</t>
  </si>
  <si>
    <t>This course is approved to meet the minimum regulatory training (MRT) requirement for drinking water treatment and distribution system operators in Colorado.</t>
  </si>
  <si>
    <t>2023 WAT-008 Corrosion &amp; Lab | indigowatergroup.ispringmarket.com</t>
  </si>
  <si>
    <t>Discusses different types of corrosion that can occur in water and wastewater systems. Covers common laboratory tests used in distribution systems to manage corrosion.</t>
  </si>
  <si>
    <t>2023 WWT-001 Wastewater Overview | indigowatergroup.ispringmarket.com</t>
  </si>
  <si>
    <t>This presentation introduces operators to wastewater treatment by tracing the flow of water through a facility followed by tracing the path of solids handling.</t>
  </si>
  <si>
    <t>2023 WWT-030 Wastewater MRT Cours | indigowatergroup.ispringmarket.com</t>
  </si>
  <si>
    <t>This course is approved to meet the minimum regulatory training (MRT) requirement for wastewater, industrial wastewater, and collection system operators in Colorado.</t>
  </si>
  <si>
    <t>2023 WWT-029 NPDES Permit Limits | indigowatergroup.ispringmarket.com</t>
  </si>
  <si>
    <t>Learn how NPDES permit limits are determined using technology based limits, water quality based standards, and in-stream dilution factors.</t>
  </si>
  <si>
    <t>2023 WWT-027 Metal Waste Streams | indigowatergroup.ispringmarket.com</t>
  </si>
  <si>
    <t>This course is meant as an introduction to metals precipitation chemistry, pH control, cyanide chemistry.</t>
  </si>
  <si>
    <t>2023 WWT-026 Odor Control | indigowatergroup.ispringmarket.com</t>
  </si>
  <si>
    <t>This presentation discusses the sources of odors in water and wastewater treatment, the chemical composition of odor causing compounds, and methods for odor control.</t>
  </si>
  <si>
    <t>2023 WWT-025 Centrifuge Operation | indigowatergroup.ispringmarket.com</t>
  </si>
  <si>
    <t>This course is devoted to operation and maintenance of centrifuges.  Theory, components, function, and troubleshooting.</t>
  </si>
  <si>
    <t>2023 WWT-024 Belt Filter Presses | indigowatergroup.ispringmarket.com</t>
  </si>
  <si>
    <t>This course is devoted to operation and maintenance of belt filter presses.  Theory of operation, components, function, and troubleshooting.</t>
  </si>
  <si>
    <t>2023 WWT-023 Solids Digestion | indigowatergroup.ispringmarket.com</t>
  </si>
  <si>
    <t>This course focuses specifically on aerobic and anaerobic digestion with a focus on biology, components (parts and purpose), and troubleshooting.</t>
  </si>
  <si>
    <t>2023 WWT-022 Intro to 503 Regs | indigowatergroup.ispringmarket.com</t>
  </si>
  <si>
    <t>Participants will be given an overview of the Biosolids 503 Regulations and their Colorado equivalent including sample calculations for land application.</t>
  </si>
  <si>
    <t>2023 WWT-020 Wastewater Disinfect | indigowatergroup.ispringmarket.com</t>
  </si>
  <si>
    <t>This wastewater-focused presentation walks the participant through chlorine chemistry, the different forms of chlorine available for disinfection, and chlorine safety.</t>
  </si>
  <si>
    <t>2023 WWT-019 AS Process Tests | indigowatergroup.ispringmarket.com</t>
  </si>
  <si>
    <t>Process control tests used for activated sludge process control along with tips for troubleshooting.</t>
  </si>
  <si>
    <t>2023 WWT-018 Secondary Clarifiers | indigowatergroup.ispringmarket.com</t>
  </si>
  <si>
    <t>This course gives an in-depth discussion of secondary clarifier state point analysis, which is a mathematical model used to predict secondary clarifier performance.</t>
  </si>
  <si>
    <t>2023 WWT-017 Phosphorus Removal | indigowatergroup.ispringmarket.com</t>
  </si>
  <si>
    <t>2023 WWT-016 Nitrogen Removal | indigowatergroup.ispringmarket.com</t>
  </si>
  <si>
    <t>This presentation covers biological nitrification and denitrification. Organisms responsible, growth requirements, byproducts, and process control.</t>
  </si>
  <si>
    <t>2023 WWT-014 Activated Sludge Sys | indigowatergroup.ispringmarket.com</t>
  </si>
  <si>
    <t>Different types of activated sludge systems are discussed with a focus on flow patterns (complete mix, plug flow, batch) versus operational methods.</t>
  </si>
  <si>
    <t>2023 WWT-013 Filaments &amp; Settling | indigowatergroup.ispringmarket.com</t>
  </si>
  <si>
    <t>Part 3 focuses on filamentous bacteria, how to identify them, and what their presence may indicate about the activated sludge process.</t>
  </si>
  <si>
    <t>2023 WWT-012B The Micro Exam | indigowatergroup.ispringmarket.com</t>
  </si>
  <si>
    <t>In part two, attendees will learn how to properly set up and care for their microscope and how to properly conduct a microscopic exam.</t>
  </si>
  <si>
    <t>2023 WWT-012A Microbiology 1 | indigowatergroup.ispringmarket.com</t>
  </si>
  <si>
    <t>A three part series.  Part 1 discusses how bacteria are classified, bacterial forms present in activated sludge, and how floc forms.</t>
  </si>
  <si>
    <t>2023 WWT-011 Top 10 Questions | indigowatergroup.ispringmarket.com</t>
  </si>
  <si>
    <t>Activated sludge has 7 variables that are critical for process control. Learn how to select set points for MCRT, SRT, SRTaerobic, RAS pumping, DO, ORP, and more.</t>
  </si>
  <si>
    <t>2023 WWT-010 Activated Sludge Mec | indigowatergroup.ispringmarket.com</t>
  </si>
  <si>
    <t>If activated sludge has never made sense to you, but engines and other mechanical devices do, then this is the course for you.</t>
  </si>
  <si>
    <t>2023 WWT-009 Activated Sludge Bas | indigowatergroup.ispringmarket.com</t>
  </si>
  <si>
    <t>This course introduces participants to the basics of activated sludge. It presents fundamental concepts such as space loading, F:M ratio, MCRT, SRT, solids loading, etc.</t>
  </si>
  <si>
    <t>2023 WWT-008 Lagoons &amp; Fixed Film | indigowatergroup.ispringmarket.com</t>
  </si>
  <si>
    <t>2023 WWT-007 Lagoons and Wetlands | indigowatergroup.ispringmarket.com</t>
  </si>
  <si>
    <t>This presentation covers the method of operation for lagoons and engineered wetlands. Components, function, operation, and troubleshooting.</t>
  </si>
  <si>
    <t>2023 WWT-006 Fixed Film| indigowatergroup.ispringmarket.com</t>
  </si>
  <si>
    <t>This course covers operation of trickling filters (TFs) and rotating biological contactors (RBC).  Components, function, process control, and troubleshooting.</t>
  </si>
  <si>
    <t>2023 WWT-005 Biological Treatment | indigowatergroup.ispringmarket.com</t>
  </si>
  <si>
    <t>Fundamentals basics introduces operators to different groups of microorganisms by comparing them to combustion engines. Defines terms used to classify microorganisms.</t>
  </si>
  <si>
    <t>2023 WWT-003 Preliminary Treatmen | indigowatergroup.ispringmarket.com</t>
  </si>
  <si>
    <t>This course covers preliminary treatment in wastewater treatment plants including screening and grit removal.</t>
  </si>
  <si>
    <t>2023 WWT-002 Wastewater Components| indigowatergroup.ispringmarket.com</t>
  </si>
  <si>
    <t>Explores components of wastewater. Gives typical ratios between components like biochemical oxygen demand (BOD) and total suspended solids (TSS) and others.</t>
  </si>
  <si>
    <t>Wastewater operators must comply with the terms of their discharge permit which requires an understanding of the permit and supporting regulatory structure.</t>
  </si>
  <si>
    <t>Understanding the water cycle is important for source water protection. Knowing the major components of water systems is required for water and distribution system operators.</t>
  </si>
  <si>
    <t>Water treatment plant operators are responsible for managing reservoirs and protecting surface water supplies from contamination.</t>
  </si>
  <si>
    <t>Water and distribution system operators both operate wells and must be familiar with their components and operation as well as how aquifer structure affects water quality and well output.</t>
  </si>
  <si>
    <t>Water treatment plant operators must understand the theory behind the operation of each step of conventional water treatment and membrane water treatment.</t>
  </si>
  <si>
    <t>Disinfection is a critical component of protecting public health for water, wastewater, and distribution system operators.</t>
  </si>
  <si>
    <t>Water and distribution system operators should be familiar with the different components that make up water distribution systems so they can effectively operate them.</t>
  </si>
  <si>
    <t>Water treatment and distribution system operators must comply with the safe drinking water act and delegated regulations in their states.</t>
  </si>
  <si>
    <t>Water treatment and distribution system operators are responsible for maintaining the distribution system. This includes adding corrosion control inhibitors and measuring water quality parameters necessary for adjusting chemical dosage rates.</t>
  </si>
  <si>
    <t>All operators. Math</t>
  </si>
  <si>
    <t>All operators</t>
  </si>
  <si>
    <t>Safety</t>
  </si>
  <si>
    <t>Collection Systems</t>
  </si>
  <si>
    <t>Wastewater and Collection Systems</t>
  </si>
  <si>
    <t>Wastewater / Industrial</t>
  </si>
  <si>
    <t>Wastewater and Collections</t>
  </si>
  <si>
    <t>Drinking Water and Distribution</t>
  </si>
  <si>
    <t>Drinking Water</t>
  </si>
  <si>
    <t>All opertors</t>
  </si>
  <si>
    <t>Water / Wastewater</t>
  </si>
  <si>
    <t>Fundamental</t>
  </si>
  <si>
    <t>Advanced</t>
  </si>
  <si>
    <t>Intermediate</t>
  </si>
  <si>
    <t>MATH-007</t>
  </si>
  <si>
    <t>MATH-008</t>
  </si>
  <si>
    <t>MATH-009</t>
  </si>
  <si>
    <t>Advanced Activated Sludge and Clarifier Math</t>
  </si>
  <si>
    <t>Advanced Anaerobic Digester and Solids Math</t>
  </si>
  <si>
    <t>Advanced Wastewater Math Grab Bag</t>
  </si>
  <si>
    <t>23-10566-001</t>
  </si>
  <si>
    <t>23-10565-001</t>
  </si>
  <si>
    <t>23-10564-001</t>
  </si>
  <si>
    <t>Two full hours of advanced activated sludge and clarifier related math problems are worked through, step by step. These are multi-step problems similar to those that may be found on higher level certification exams.</t>
  </si>
  <si>
    <t>Two full hours of anaerobic digester and solids handling related math problems are worked through, step by step. These are multi-step problems similar to those that may be found on higher level certification exams.</t>
  </si>
  <si>
    <t>This course discusses various process control tests for activated sludge including: measurement of the clarifier blanket (sludge judge), settleometer, diluted settleometer, sludge volume index, OUR and SOUR as well as three different methods for measuring MLSS concentration. Control charts and CUSUM charts and their uses are discussed.  Multiple case studies for troubleshooting are presented.</t>
  </si>
  <si>
    <t>This is the third part of a three-part series on activated sludge microbiology.  Attendees will learn how to identify different activated sludge filaments based on their morphology, location in relation to the floc, and how they respond to different staining techniques.  Growth conditions for filaments commonly found in domestic wastewater treatment plants are presented.</t>
  </si>
  <si>
    <t>CO_Number_2024</t>
  </si>
  <si>
    <t>24-10565-001</t>
  </si>
  <si>
    <t>24-10564-001</t>
  </si>
  <si>
    <t>24-09506-001</t>
  </si>
  <si>
    <t>24-09505-001</t>
  </si>
  <si>
    <t>24-09451-001</t>
  </si>
  <si>
    <t>24-09382-001</t>
  </si>
  <si>
    <t>24-07222-001</t>
  </si>
  <si>
    <t>24-06009-001</t>
  </si>
  <si>
    <t>24-06011-002</t>
  </si>
  <si>
    <t>24-09381-001</t>
  </si>
  <si>
    <t>24-08959-001</t>
  </si>
  <si>
    <t>24-08902-001</t>
  </si>
  <si>
    <t>24-08901-001</t>
  </si>
  <si>
    <t>24-06015-001</t>
  </si>
  <si>
    <t>24-06016-001</t>
  </si>
  <si>
    <t>24-06018-001</t>
  </si>
  <si>
    <t>24-08900-001</t>
  </si>
  <si>
    <t>24-07727-001</t>
  </si>
  <si>
    <t>24-06020-001</t>
  </si>
  <si>
    <t>24-06022-002</t>
  </si>
  <si>
    <t>24-06024-001</t>
  </si>
  <si>
    <t>24-06025-001</t>
  </si>
  <si>
    <t>24-06012-001</t>
  </si>
  <si>
    <t>24-06672-001</t>
  </si>
  <si>
    <t>24-06046-002</t>
  </si>
  <si>
    <t>24-06007-001</t>
  </si>
  <si>
    <t>24-06006-001</t>
  </si>
  <si>
    <t>Colorado Approval No.
2024</t>
  </si>
  <si>
    <t>24-06005-001</t>
  </si>
  <si>
    <t>24-06004-001</t>
  </si>
  <si>
    <t>24-06003-001</t>
  </si>
  <si>
    <t>24-06002-002</t>
  </si>
  <si>
    <t>24-06001-002</t>
  </si>
  <si>
    <t>24-06000-002</t>
  </si>
  <si>
    <t>24-05999-001</t>
  </si>
  <si>
    <t>24-05998-001</t>
  </si>
  <si>
    <t>24-05996-001</t>
  </si>
  <si>
    <t>24-05995-002</t>
  </si>
  <si>
    <t>24-05994-001</t>
  </si>
  <si>
    <t>24-05991-001</t>
  </si>
  <si>
    <t>24-05987-001</t>
  </si>
  <si>
    <t>24-05988-001</t>
  </si>
  <si>
    <t>24-10566-001</t>
  </si>
  <si>
    <t>24-05986-002</t>
  </si>
  <si>
    <t>24-05985-002</t>
  </si>
  <si>
    <t>24-05984-002</t>
  </si>
  <si>
    <t>24-05983-002</t>
  </si>
  <si>
    <t>24-05990-001</t>
  </si>
  <si>
    <t>24-05992-001</t>
  </si>
  <si>
    <t>24-05993-001</t>
  </si>
  <si>
    <t>All WW &amp; Ind</t>
  </si>
  <si>
    <t>7583-9-23</t>
  </si>
  <si>
    <t>7584-9-23</t>
  </si>
  <si>
    <t>7585-9-23</t>
  </si>
  <si>
    <t>7586-9-23</t>
  </si>
  <si>
    <t>All W, WW, Ind</t>
  </si>
  <si>
    <t>7587-9-23</t>
  </si>
  <si>
    <t>All WW and Ind</t>
  </si>
  <si>
    <t>9588-9-23</t>
  </si>
  <si>
    <t>7589-9-23</t>
  </si>
  <si>
    <t>7590-9-23</t>
  </si>
  <si>
    <t>All W and D</t>
  </si>
  <si>
    <t>7591-9-23</t>
  </si>
  <si>
    <t>7592-9-23</t>
  </si>
  <si>
    <t>7593-9-23</t>
  </si>
  <si>
    <t>Water 1 - 5</t>
  </si>
  <si>
    <t>7594-9-23</t>
  </si>
  <si>
    <t>7595-9-23</t>
  </si>
  <si>
    <t>7596-9-23</t>
  </si>
  <si>
    <t>WW and Ind</t>
  </si>
  <si>
    <t>7597-9-23</t>
  </si>
  <si>
    <t>7598-9-23</t>
  </si>
  <si>
    <t>7599-9-23</t>
  </si>
  <si>
    <t>Two full hours of advanced wastewater math problems are worked through, step by step.  Chemical addition, pump horsepower, cost to operate, MCRT, and more!  These are multi-step problems similar to those that may be found on higher level certification exams.</t>
  </si>
  <si>
    <t>Subsurface Flow Wetlands for Wastewater Treatment</t>
  </si>
  <si>
    <t>WWT-007B</t>
  </si>
  <si>
    <t>Subsurface flow wetlands can be used as a polishing step following septic tanks or secondary treatment system. They are effective at removing ammonia and nitrate even in cold climates.  The presenter, Dave Flowers, holds many of the patents on engineered wetland systems. This presentation highlights a case study at Kettle Moraine Lutheran High School in Wisconsin taking attendees through the design, components, operation, and performance of the system.</t>
  </si>
  <si>
    <t>Identify components of subsurface flow wetlands.</t>
  </si>
  <si>
    <t>Describe the types of biological treatment taking place in an engineered wetland.</t>
  </si>
  <si>
    <t>Explain why operational tasks are needed and consquences of failing to do them.</t>
  </si>
  <si>
    <t>Compare and contrast wetland treatment performance with other types of treatment.</t>
  </si>
  <si>
    <t>WWT-007A</t>
  </si>
  <si>
    <t>Wastewater Treatment Lagoons</t>
  </si>
  <si>
    <t>This presentation covers the method of operation for wastewater treatment lagoons. Basic design principals are discussed for lagoons as well as biological processes taking place in aerobic, facultative, and anaerobic ponds. Typical operating ranges for each system type including hydraulic and organic loading rates are presented.  Troubleshooting is discussed and relationships between operating variables.</t>
  </si>
  <si>
    <t>Describe the major components of wastewater treatment ponds and the function of each.</t>
  </si>
  <si>
    <t>None for 2022</t>
  </si>
  <si>
    <t>None for 2023</t>
  </si>
  <si>
    <t>24-10618-001</t>
  </si>
  <si>
    <t>24-10616-001</t>
  </si>
  <si>
    <t>24-07745-001</t>
  </si>
  <si>
    <t>24-07744-001</t>
  </si>
  <si>
    <t>24-07709-001</t>
  </si>
  <si>
    <t>24-07704-001</t>
  </si>
  <si>
    <t>24-07639-001</t>
  </si>
  <si>
    <t>24-06038-001</t>
  </si>
  <si>
    <t>24-06037-001</t>
  </si>
  <si>
    <t>24-06036-001</t>
  </si>
  <si>
    <t>24-06035-001</t>
  </si>
  <si>
    <t>24-06034-002</t>
  </si>
  <si>
    <t>24-06033-001</t>
  </si>
  <si>
    <t>24-06032-001</t>
  </si>
  <si>
    <t>24-06030-001</t>
  </si>
  <si>
    <t>24-06028-001</t>
  </si>
  <si>
    <t>24-06026-001</t>
  </si>
  <si>
    <t>24-06023-001</t>
  </si>
  <si>
    <t>24-06008-001</t>
  </si>
  <si>
    <t>2024_Time_Hours</t>
  </si>
  <si>
    <t>24-05997-001</t>
  </si>
  <si>
    <t>IWG-B0100-OM</t>
  </si>
  <si>
    <t>IWG-B0101-OM</t>
  </si>
  <si>
    <t>IWG-B0102-OM</t>
  </si>
  <si>
    <t>IWG-B0103-OM</t>
  </si>
  <si>
    <t>IWG-B0104-OM</t>
  </si>
  <si>
    <t>IWG-B0105-OM</t>
  </si>
  <si>
    <t>IWG-B0106-OM</t>
  </si>
  <si>
    <t>IWG-S0107-OM</t>
  </si>
  <si>
    <t>IWG-S0108-OM</t>
  </si>
  <si>
    <t>IWG-S0109-OM</t>
  </si>
  <si>
    <t>IWG-B1101-OM</t>
  </si>
  <si>
    <t>IWG-B1102-OM</t>
  </si>
  <si>
    <t>IWG-B1103-OM</t>
  </si>
  <si>
    <t>IWG-S1104-OM</t>
  </si>
  <si>
    <t>IWG-B1105-OM</t>
  </si>
  <si>
    <t>IWG-B1106-OM</t>
  </si>
  <si>
    <t>IWG-B1107-OM</t>
  </si>
  <si>
    <t>IWG-B1109-OM</t>
  </si>
  <si>
    <t>IWG-B1111-OM</t>
  </si>
  <si>
    <t>IWG-B2101-X</t>
  </si>
  <si>
    <t>IWG-B2102-X</t>
  </si>
  <si>
    <t>IWG-B2104-X</t>
  </si>
  <si>
    <t>IWG-S3101-OM</t>
  </si>
  <si>
    <t>IWG-S3102-OM</t>
  </si>
  <si>
    <t>IWG-S3103-OM</t>
  </si>
  <si>
    <t>IWG-S3104-OM</t>
  </si>
  <si>
    <t>IWG-S3105-OM</t>
  </si>
  <si>
    <t>IWG-S3106-OM</t>
  </si>
  <si>
    <t>IWG-S4101-OM</t>
  </si>
  <si>
    <t>IWG-S4102-OM</t>
  </si>
  <si>
    <t>IWG-S4103-OM</t>
  </si>
  <si>
    <t>IWG-S4104-OM</t>
  </si>
  <si>
    <t>IWG-S4105-OM</t>
  </si>
  <si>
    <t>IWG-S4106-OM</t>
  </si>
  <si>
    <t>IWG-S4107-OM</t>
  </si>
  <si>
    <t>IWG-S4108-OM</t>
  </si>
  <si>
    <t>IWG-S4109-OM</t>
  </si>
  <si>
    <t>IWG-S4110-OM</t>
  </si>
  <si>
    <t>IWG-S4111-OM</t>
  </si>
  <si>
    <t>IWG-S4112-OM</t>
  </si>
  <si>
    <t>IWG-S4113-OM</t>
  </si>
  <si>
    <t>IWG-S4114-OM</t>
  </si>
  <si>
    <t>IWG-B1110-OM</t>
  </si>
  <si>
    <t>IWG-S4115-OM</t>
  </si>
  <si>
    <t>IWG-S4116-OM</t>
  </si>
  <si>
    <t>IWG-S4117-OM</t>
  </si>
  <si>
    <t>IWG-S4118-OM</t>
  </si>
  <si>
    <t>IWG-S4119-OM</t>
  </si>
  <si>
    <t>IWG-S4120-OM</t>
  </si>
  <si>
    <t>IWG-S4121-OM</t>
  </si>
  <si>
    <t>IWG-S4122-OM</t>
  </si>
  <si>
    <t>IWG-S4123-OM</t>
  </si>
  <si>
    <t>IWG-B4124-OM</t>
  </si>
  <si>
    <t>IWG-B4125-OM</t>
  </si>
  <si>
    <t>IWG-S4127-OM</t>
  </si>
  <si>
    <t>IWG-B4128-OM</t>
  </si>
  <si>
    <t>IWG-S4129-OM</t>
  </si>
  <si>
    <t>IWG-S4132-OM</t>
  </si>
  <si>
    <t>IWG-B2103-X</t>
  </si>
  <si>
    <t>IWG-S4133-OM</t>
  </si>
  <si>
    <t>IWG-S4134-OM</t>
  </si>
  <si>
    <t>IWG-D5101-OM</t>
  </si>
  <si>
    <t>IWG-D5102-OM</t>
  </si>
  <si>
    <t>IWG-D5103-OM</t>
  </si>
  <si>
    <t>IWG-D5104-OM</t>
  </si>
  <si>
    <t>IWG-D5105-OM</t>
  </si>
  <si>
    <t>IWG-D5106-OM</t>
  </si>
  <si>
    <t>IWG-D5107-OM</t>
  </si>
  <si>
    <t>IWG-D5108-OM</t>
  </si>
  <si>
    <t>IWG-B6101-OM</t>
  </si>
  <si>
    <t>IWG-B6102-OM</t>
  </si>
  <si>
    <t>IWG-B6103-OM</t>
  </si>
  <si>
    <t>IWG-S6104-OM</t>
  </si>
  <si>
    <t>IWG-B6105-OM</t>
  </si>
  <si>
    <t>IWG-B6106-OM</t>
  </si>
  <si>
    <t>IWG-B6108-OM</t>
  </si>
  <si>
    <t>IWG-B6109-OM</t>
  </si>
  <si>
    <t>IWG-B6111-OM</t>
  </si>
  <si>
    <t>IWG-S4135-OM</t>
  </si>
  <si>
    <t>IWG-S4136-OM</t>
  </si>
  <si>
    <t>Ohio Approval Number
(Post Jan 2024)</t>
  </si>
  <si>
    <t>Ohio Contact Hours (2024)</t>
  </si>
  <si>
    <t>IWG-S4126-OM</t>
  </si>
  <si>
    <t>IWG-S1108-OM</t>
  </si>
  <si>
    <t>IWG-S6110-OM</t>
  </si>
  <si>
    <t>24-06696-001</t>
  </si>
  <si>
    <t>24-06039-001</t>
  </si>
  <si>
    <t>24-06019-001</t>
  </si>
  <si>
    <t>24-06017-001</t>
  </si>
  <si>
    <t>24-06010-001</t>
  </si>
  <si>
    <t>Hydraulics of Pumped Systems</t>
  </si>
  <si>
    <t>Drinking water treatment steps: coagulation, flocculation, sedimentation, filtration, and disinfection. Each step explained.</t>
  </si>
  <si>
    <t>This presentation covers the method of operation for engineered wetlands. Components, function, operation, and troubleshooting.</t>
  </si>
  <si>
    <t>This class demonstrates the need for a competent site supervisor to evaluate and take necessary steps to maintain a safe work site.  Uses OSHA standards as a reference for shoring, benching, and safe operation within a construction trench.</t>
  </si>
  <si>
    <t>This class demonstrates the need for a competent site supervisor to evaluate and take necessary steps to maintain a safe work site.  Uses OSHA standards as a reference.</t>
  </si>
  <si>
    <t>Database_ID_2024</t>
  </si>
  <si>
    <t>2024 Database ID Number</t>
  </si>
  <si>
    <t>WWT-031</t>
  </si>
  <si>
    <t>24-06743-002</t>
  </si>
  <si>
    <t>24-06840-002</t>
  </si>
  <si>
    <t>Gravity and Dissolved Air Floatation Thickeners</t>
  </si>
  <si>
    <t>The first 30 minutes of this course discusses gravity thickeners, their theory of operation, their components, operation, and troubleshooting.  The remainder of the course covers dissolved air floatation thickeners (DAFTs)  including: theory of operation, components of both circular and rectangular DAFTs, typical operating parameters for loading and process control, pressurization system components and function, pump types, polymer systems, process control, and basic troubleshooting.</t>
  </si>
  <si>
    <t>Describe and give the function of the major components of gravity thickeners and dissolved air floation thickeners.</t>
  </si>
  <si>
    <t>Explain typical startup and shutdown procedures for gravity thickeners and DAFTs.</t>
  </si>
  <si>
    <t>Explain the impact of process control variables.</t>
  </si>
  <si>
    <t>Calculate process control parameters including: solids loading rate, hydraulic loading rate, percent capture, and volume of float produced.</t>
  </si>
  <si>
    <t>WATER-009</t>
  </si>
  <si>
    <t>Describe the different classifications of fire hydrants.</t>
  </si>
  <si>
    <t>Identify the major components of different types of hydrants.</t>
  </si>
  <si>
    <t>Describe the operation of compression and toggle style hydrants.</t>
  </si>
  <si>
    <t>Describe operational considerations for use of fire hydrants including: marking inoperable hydrants, color coding hydrant barrels, and managing the use of hydrants.</t>
  </si>
  <si>
    <t>List the steps for lubricating dry barrel hydrants.</t>
  </si>
  <si>
    <t>Inspect dry and wet barrel hydrants.</t>
  </si>
  <si>
    <t>Identify and solve common hydrant problems.</t>
  </si>
  <si>
    <t>This course covers the different types of hydrants used in distribution systems, their components, operation and maintenance.</t>
  </si>
  <si>
    <t>24-10672-001</t>
  </si>
  <si>
    <t>24-10671-001</t>
  </si>
  <si>
    <t xml:space="preserve">Primary Treatment </t>
  </si>
  <si>
    <t>IWG-S4137-OM</t>
  </si>
  <si>
    <t>IWG-D5109-OM</t>
  </si>
  <si>
    <t>Fire Hydrant Operation and Inspection (under construction)</t>
  </si>
  <si>
    <t>Top 10 Questions for Activated Sludge Process Control</t>
  </si>
  <si>
    <t>Course ID</t>
  </si>
  <si>
    <t>Approval</t>
  </si>
  <si>
    <t>Approval #</t>
  </si>
  <si>
    <t xml:space="preserve">Laboratory - Spectroscopic Tests: Fluoride, Nitrite, and Nitrate </t>
  </si>
  <si>
    <t>Laboratory - Ion-Selective Electrodes (ammonia, nitrate, fluoride)</t>
  </si>
  <si>
    <t>Laboratory Testing - Total coliforms by MPN</t>
  </si>
  <si>
    <t>TEST</t>
  </si>
  <si>
    <t>C2</t>
  </si>
  <si>
    <t>All courses within the short school must be completed for this course to count for EITHER 30-days of hands-on entry level experience OR as a substitute for a high school diploma.  May not be used for both. Operators using education as a subsitute for a high school diploma must have 6 months hands on experience to sit for an entry level exam.</t>
  </si>
  <si>
    <t>24-08960-001</t>
  </si>
  <si>
    <t>24-08961-001</t>
  </si>
  <si>
    <t>Operation and maintenance of gravity thickeners and dissolved air floatation thickeners (DAFTs)</t>
  </si>
  <si>
    <t>2024 WWT-031 DAF Thickening | indigowatergroup.ispringmarket.com</t>
  </si>
  <si>
    <t>This course walks attendees through the components of rectangular and circular primary clarifiers.  The course begins with operational theory and explains why primary clarifiers typically remove about 30% of influent BOD and about 50% of influent TSS.  Components and their functions are discussed for each type of clarifier with plenty of pictures to illustrate each component.  The course closes with process control tests and recommended maintenance.</t>
  </si>
  <si>
    <t>2024 WWT-004 Primary Treatment | indigowatergroup.ispringmarket.com</t>
  </si>
  <si>
    <t>Everything you ever wanted to know about primary clarifiers: form, function, operation, design parameters, and troubleshooting.</t>
  </si>
  <si>
    <t>Transcript?</t>
  </si>
  <si>
    <t>Y</t>
  </si>
  <si>
    <t>Progress</t>
  </si>
  <si>
    <t>N</t>
  </si>
  <si>
    <t>Replace</t>
  </si>
  <si>
    <t>Abandon</t>
  </si>
  <si>
    <t>Republished?</t>
  </si>
  <si>
    <t>Updated in CCWP Portal?</t>
  </si>
  <si>
    <t>Explain how influent wastewater characteristics affect primary clarifier performance.</t>
  </si>
  <si>
    <t>List design parameters for primary clarifiers.</t>
  </si>
  <si>
    <t>List the components of circular and rectangular clarifiers and give the purpose of each.</t>
  </si>
  <si>
    <t>Collect and interpret process control data for primary clarifiers.</t>
  </si>
  <si>
    <t>Compare and contrast rectangular versus circular primary clarifiers.</t>
  </si>
  <si>
    <t>Understand the purpose of primary treatment and when it should be incorporated into a wastewater treatment process.</t>
  </si>
  <si>
    <t>Operators must be able to calculate a number of parameters for activated sludge process control.</t>
  </si>
  <si>
    <t>Operators must be able to calculate a number of parameters for solids handling.</t>
  </si>
  <si>
    <t>Operators must be able to calculate a variety of parameters for process control.</t>
  </si>
  <si>
    <t>Solve math problems related to activated sludge and secondary clarifiers.  Specific types of calculations covered include: sludge volume index (SVI), food-to-microorganism ratio (F:M), return activated sludge concentration (RAS), mean cell residence time (MCRT), clarifier solids loading rate, RAS pumping rate, and aeration costs.</t>
  </si>
  <si>
    <t>Solve math problems related to activated sludge and secondary clarifiers.  Specific types of calculations covered include: percent volatile solids reduction, volume of a conical bottom tank, digester loading rate, volatile acid to alkalinity ratio, chemical dosing, and blending for return stream management.</t>
  </si>
  <si>
    <t xml:space="preserve">Solve math problems related to activated sludge and secondary clarifiers.  Specific types of calculations covered include: chemical dosing, dechlorination, finding the working volume of a wet well, detention time, equivalent pipeline diameters, velocity in a force main, pump horsepower, trickling filter loading rate, primary sludge pump run time, percent volatile solids reduction, mean cell residence time (MCRT), membrane cleaning, and the two-normal equation. </t>
  </si>
  <si>
    <t>NV24-050</t>
  </si>
  <si>
    <t>NV24-230</t>
  </si>
  <si>
    <t>NV24-231</t>
  </si>
  <si>
    <t>Colorado Approval No.
2025</t>
  </si>
  <si>
    <t>25-05983-002</t>
  </si>
  <si>
    <t>25-05984-002</t>
  </si>
  <si>
    <t>25-05985-002</t>
  </si>
  <si>
    <t>25-05986-002</t>
  </si>
  <si>
    <t>25-05987-001</t>
  </si>
  <si>
    <t>25-05988-001</t>
  </si>
  <si>
    <t>25-05990-001</t>
  </si>
  <si>
    <t>25-05991-001</t>
  </si>
  <si>
    <t>25-05992-001</t>
  </si>
  <si>
    <t>25-05993-001</t>
  </si>
  <si>
    <t>25-05998-001</t>
  </si>
  <si>
    <t>25-05999-001</t>
  </si>
  <si>
    <t>25-08959-001</t>
  </si>
  <si>
    <t>25-09451-001</t>
  </si>
  <si>
    <t>25-05997-001</t>
  </si>
  <si>
    <t>25-06000-002</t>
  </si>
  <si>
    <t>25-06001-002</t>
  </si>
  <si>
    <t>25-06002-002</t>
  </si>
  <si>
    <t>25-06005-001</t>
  </si>
  <si>
    <t>25-06003-001</t>
  </si>
  <si>
    <t>25-06004-001</t>
  </si>
  <si>
    <t>25-06006-001</t>
  </si>
  <si>
    <t>25-06007-001</t>
  </si>
  <si>
    <t>25-09381-001</t>
  </si>
  <si>
    <t>25-09382-001</t>
  </si>
  <si>
    <t>25-07222-001</t>
  </si>
  <si>
    <t>25-06009-001</t>
  </si>
  <si>
    <t>25-10618-001</t>
  </si>
  <si>
    <t>25-06010-001</t>
  </si>
  <si>
    <t>25-07727-001</t>
  </si>
  <si>
    <t>25-06011-002</t>
  </si>
  <si>
    <t>25-06012-001</t>
  </si>
  <si>
    <t>25-08900-001</t>
  </si>
  <si>
    <t>25-06015-001</t>
  </si>
  <si>
    <t>25-06016-001</t>
  </si>
  <si>
    <t>25-06017-001</t>
  </si>
  <si>
    <t>25-06018-001</t>
  </si>
  <si>
    <t>25-06019-001</t>
  </si>
  <si>
    <t>25-06020-001</t>
  </si>
  <si>
    <t>25-06022-002</t>
  </si>
  <si>
    <t>25-06023-001</t>
  </si>
  <si>
    <t>25-06024-001</t>
  </si>
  <si>
    <t>25-06025-001</t>
  </si>
  <si>
    <t>25-06026-001</t>
  </si>
  <si>
    <t>25-06030-001</t>
  </si>
  <si>
    <t>25-06035-001</t>
  </si>
  <si>
    <t>25-06036-001</t>
  </si>
  <si>
    <t>25-06037-001</t>
  </si>
  <si>
    <t>25-06038-001</t>
  </si>
  <si>
    <t>25-06039-001</t>
  </si>
  <si>
    <t>25-06046-002</t>
  </si>
  <si>
    <t>25-06672-001</t>
  </si>
  <si>
    <t>25-07639-001</t>
  </si>
  <si>
    <t>25-07704-001</t>
  </si>
  <si>
    <t>25-07709-001</t>
  </si>
  <si>
    <t>25-08960-001</t>
  </si>
  <si>
    <t>25-08961-001</t>
  </si>
  <si>
    <t>25-07745-001</t>
  </si>
  <si>
    <t>25-10616-001</t>
  </si>
  <si>
    <t>25-09505-001</t>
  </si>
  <si>
    <t>25-10564-001</t>
  </si>
  <si>
    <t>25-10565-001</t>
  </si>
  <si>
    <t>25-10566-001</t>
  </si>
  <si>
    <t>25-07744-001</t>
  </si>
  <si>
    <t>25-10672-001</t>
  </si>
  <si>
    <t>25-10671-001</t>
  </si>
  <si>
    <t>25-05996-001</t>
  </si>
  <si>
    <t>25-06033-001</t>
  </si>
  <si>
    <t>25-06028-001</t>
  </si>
  <si>
    <t>25-06032-001</t>
  </si>
  <si>
    <t>25-06034-002</t>
  </si>
  <si>
    <t>25-06696-001</t>
  </si>
  <si>
    <t>25-08901-001</t>
  </si>
  <si>
    <t>25-08902-001</t>
  </si>
  <si>
    <t>25-09506-001</t>
  </si>
  <si>
    <t>Management</t>
  </si>
  <si>
    <t>MAN-001</t>
  </si>
  <si>
    <t>Developing Standard Operating Procedures</t>
  </si>
  <si>
    <t>25-10928-001</t>
  </si>
  <si>
    <t>Laboratory Testing - BOD Calculations</t>
  </si>
  <si>
    <t>This 30 minute course walks attendees through calculations for a seeded and unseeded BOD test.  This course includes a downloadable spreadsheet that calculates and validates BOD results.</t>
  </si>
  <si>
    <t>Calculate BOD results for seeded and unseeded samples.</t>
  </si>
  <si>
    <t>Understand why some BOD samples must be seeded.</t>
  </si>
  <si>
    <t>AC and DC Motors (Electrical Fundamentals)</t>
  </si>
  <si>
    <t>Demolition Saws</t>
  </si>
  <si>
    <t>WATER-010</t>
  </si>
  <si>
    <t>25-10976-001</t>
  </si>
  <si>
    <t>25-10977-001</t>
  </si>
  <si>
    <t>25-10978-001</t>
  </si>
  <si>
    <t>WATER-011</t>
  </si>
  <si>
    <t>WATER-012</t>
  </si>
  <si>
    <t>Water Storage Tanks Part 3 - Inspections</t>
  </si>
  <si>
    <t>Water Storage Tanks Part 2 - Water Age and Quality</t>
  </si>
  <si>
    <t>Water Storage Tanks Part 1 - Components</t>
  </si>
  <si>
    <t>IWG-D5110-OM</t>
  </si>
  <si>
    <t>IWG-D5111-OM</t>
  </si>
  <si>
    <t>IWG-D5112-OM</t>
  </si>
  <si>
    <t>This course on water storage tanks has been divided into three parts.  Part 3 discusses water storage tank inspection and procedures for placing storage tanks back into service after cleaning or maintenance is complete.</t>
  </si>
  <si>
    <t>Describe various types of inspections and what they include.</t>
  </si>
  <si>
    <t>Explain what to look for during an inspection of water storage facilities.</t>
  </si>
  <si>
    <t>Understand the fundamentals of tank cleaning.</t>
  </si>
  <si>
    <t>Describe the procedures required to disinfect a storage facility.</t>
  </si>
  <si>
    <t>Understand the steps required to return a tank to service after it has been cleaned.</t>
  </si>
  <si>
    <t>This course on water storage tanks has been divided into three parts.  Part 1 discusses why managing water quality in storage tanks is important and goes over the different components of storage tanks.</t>
  </si>
  <si>
    <t>After completing this course, attendees should be able to list the different components of water storage tanks and give the functions of each.</t>
  </si>
  <si>
    <t>After completing this course, attendees will be able to explain why maintaining water quality in storage tanks is important.</t>
  </si>
  <si>
    <t>This course on water storage tanks has been divided into three parts.  Part 2 discusses water quality considerations for water storage tanks, monitoring, maintenance of water storage tanks, and management of water age.</t>
  </si>
  <si>
    <t>Be able to identify key chemical, biological, and physical factors that impact water quality in storage.</t>
  </si>
  <si>
    <t>Be able to describe how operational conditions (hydraulics, seasonal impacts, and external contamination) can impact water quality.</t>
  </si>
  <si>
    <t>IWG-S6112-OM</t>
  </si>
  <si>
    <t>25-10938-001</t>
  </si>
  <si>
    <t>25-06840-002</t>
  </si>
  <si>
    <t>25-06743-002</t>
  </si>
  <si>
    <t>25-06008-001</t>
  </si>
  <si>
    <t>25-05994-001</t>
  </si>
  <si>
    <t>LAB-012</t>
  </si>
  <si>
    <t>WWT-006B</t>
  </si>
  <si>
    <t>Fixed Film: Trickling Filters and RBCs - 2025</t>
  </si>
  <si>
    <t>MAN-007</t>
  </si>
  <si>
    <t>MAN-002</t>
  </si>
  <si>
    <t>MAN-003</t>
  </si>
  <si>
    <t>MAN-004</t>
  </si>
  <si>
    <t>MAN-005</t>
  </si>
  <si>
    <t>MAN-006</t>
  </si>
  <si>
    <t>Laboratory - Spectroscopic Tests: Fluoride, Nitrite, and Nitrate</t>
  </si>
  <si>
    <t>Not yet approved</t>
  </si>
  <si>
    <t>IWG-B7101-X</t>
  </si>
  <si>
    <t>This session will provide tips and tricks for developing effective standards operating procedures (SOPs). These were developed as part of a cooperative effort with leading utilities through the SOP Cooperative.</t>
  </si>
  <si>
    <t>Two full hours of advanced activated sludge and clarifier related math problems are worked through, step by step. These are advanced multi-step problems.</t>
  </si>
  <si>
    <t>Operation of wastewater treatment ponds.  Describes components, biology, and troubleshooting.</t>
  </si>
  <si>
    <t>This course is an introduction to biological and chemical phosphorus removal: organisms responsible, growth requirements, byproducts, and process control.</t>
  </si>
  <si>
    <t>This 30 minute course walks attendees through calculations for a seeded and unseeded BOD test.  This course includes a downloadable spreadsheet.</t>
  </si>
  <si>
    <t>Understand why standard operating procedures are needed.</t>
  </si>
  <si>
    <t>List criteria for developing effective standard operating procedures.</t>
  </si>
  <si>
    <t>Number of Learning Objectives</t>
  </si>
  <si>
    <t>Understand that Clean Water Act Rules are applied in Colorado through the Colorado Water Quality Control Act.</t>
  </si>
  <si>
    <t>Understand that direct dischargers are permitted through the Colorado NPDES system.</t>
  </si>
  <si>
    <t>Understand that dischargers must self-monitor and self-report.</t>
  </si>
  <si>
    <t>Determine the types and frequencies of samples to collect from reading a permit.</t>
  </si>
  <si>
    <t>Know where to find approved testing methods.</t>
  </si>
  <si>
    <t>Understand the importance of monitoring and maintaining the collection system.</t>
  </si>
  <si>
    <t>Explain the Federal Pretreatment Program and how it applies to significant and categorical dischargers.</t>
  </si>
  <si>
    <t>Understand the 503 regulations and the permitting and reporting requirements for land application of biosolids.</t>
  </si>
  <si>
    <t>Understand a high-level overview of the Safe Drinking Water Act.</t>
  </si>
  <si>
    <t>Understand what a public water system is based on population served, type of population, and when water is provided.</t>
  </si>
  <si>
    <t>Know how to locate and utilize your monitoring plan and monitoring schedule.</t>
  </si>
  <si>
    <t>Know where to find the regulations, policies, and guidance that govern public water systems.</t>
  </si>
  <si>
    <t>Define various regulatory terms.</t>
  </si>
  <si>
    <t>List requirements for public notices.</t>
  </si>
  <si>
    <t>Know when and how to call CDPHE in the event of an emergency.</t>
  </si>
  <si>
    <t>Course Prerequisites</t>
  </si>
  <si>
    <t>Attendees should have a working knowledge of basic math: addition, subtraction, multiplication, division, fractions, and decimals.</t>
  </si>
  <si>
    <t>Attendees should have a working knowledge of basic math: addition, subtraction, multiplication, division, fractions, and decimals.  They should also know how to convert units.</t>
  </si>
  <si>
    <t>No prerequistes are required for this course.</t>
  </si>
  <si>
    <t>Attendees should complete the pumps course prior to taking this one and be able to rearrange algebraic equations.</t>
  </si>
  <si>
    <t>While there are no prerequisites for this course, it is helpful for attendees to have some knowledge of chemistry and water distribution systems.</t>
  </si>
  <si>
    <t>While not required, it is helpful for attendees to complete the Biological Treatment Basics course before starting this one.</t>
  </si>
  <si>
    <t>While not required, it is helpful for attendees to complete the Activated Sludge Basics and Biological Treatment Basics courses before starting this one.</t>
  </si>
  <si>
    <t>While not required, it is helpful for attendees to complete the "A View Beneath the Surface" course prior to taking this one.</t>
  </si>
  <si>
    <t>Attendees should have a fundamental understanding of activated sludge microbiology before taking this course.</t>
  </si>
  <si>
    <t>While not required, it is helpful for attendees to attend the Biological Treatment Basics course before taking this course.</t>
  </si>
  <si>
    <t>Attendees should be familiar witth the components and function of secondary clarifiers before taking this course.  Attendees should know how to perform a settleometer test before taking this course.</t>
  </si>
  <si>
    <t>Attendees should be familiar with the activated sludge process before taking this course.</t>
  </si>
  <si>
    <t>No prerequisites for this course.</t>
  </si>
  <si>
    <t>Attendees should complete the Basic Chemistry course or have a working knowledge of the periodic table and chemical equations prior to taking this course.</t>
  </si>
  <si>
    <t>2025-01 Math Bundle</t>
  </si>
  <si>
    <t>2025-02 Advanced Wastewater Math Bundle</t>
  </si>
  <si>
    <t>2025-03 Mix It Up Bundle 1</t>
  </si>
  <si>
    <t>2025-04 Mix It Up Bundle 2</t>
  </si>
  <si>
    <t>2025-05 Laboratory Procedures Bundle</t>
  </si>
  <si>
    <t>2025-06 Small Water Systems Renewal (Colorado)</t>
  </si>
  <si>
    <t>2025-07 Water D / Distribution 1 Renewal (Colorado)</t>
  </si>
  <si>
    <t>2025-08 Water C / Distribution 2 Renewal (Colorado)</t>
  </si>
  <si>
    <t>2025-09 Water B / Distribution 3 Renewal (Colorado)</t>
  </si>
  <si>
    <t>2025-10 Water A / Distribution 4 Renewal (Colorado)</t>
  </si>
  <si>
    <t>2025-11 Small Wastewater Systems Renewal (Colorado)</t>
  </si>
  <si>
    <t>2025-12 Wastewater D Renewal (Colorado)</t>
  </si>
  <si>
    <t>2025-13 Wastewater C Renewal (Colorado)</t>
  </si>
  <si>
    <t>2025-14 Wastewater B Renewal (Colorado)</t>
  </si>
  <si>
    <t>2025-15 Wastewater A Renewal (Colorado)</t>
  </si>
  <si>
    <t>2025-16 Activated Sludge Bundle</t>
  </si>
  <si>
    <t>2025-17 Solids Handling Bundle</t>
  </si>
  <si>
    <t>2025-18 Collections 1 Renewal (Colorado)</t>
  </si>
  <si>
    <t>2025-19 Collections 2 Renewal (Colorado)</t>
  </si>
  <si>
    <t>2025-20 Collections 3 Renewal (Colorado)</t>
  </si>
  <si>
    <t>2025-21 Collections 4 Renewal (Colorado)</t>
  </si>
  <si>
    <t>2025-22 Joint Renewal Wastewater D and Drinking Water D (Colorado)</t>
  </si>
  <si>
    <t>2025-23 Joint Renewal Wastewater C and Drinking Water C or S (Colorado)</t>
  </si>
  <si>
    <t>2025-24 Joint Renewal Wastewater B and Drinking Water B (Colorado)</t>
  </si>
  <si>
    <t>2025-25 Joint Renewal Wastewater A and Drinking Water A (Colorado)</t>
  </si>
  <si>
    <t>2025-26 Joint Renewal Collections 1 and Distribution 1 (Colorado)</t>
  </si>
  <si>
    <t>2025-27 Joint Renewal Collections 2 and Distribution 2 (Colorado)</t>
  </si>
  <si>
    <t>2025-28 Joint Renewal Collections 3 and Distribution 3 (Colorado)</t>
  </si>
  <si>
    <t>2025-29 Joint Renewal Collections 4 and Distribution 4 (Colorado)</t>
  </si>
  <si>
    <t>Understand the chemistry behind three different spectroscopic tests.</t>
  </si>
  <si>
    <t>Explain which quality control samples are needed for each method and what information they give the analyst.</t>
  </si>
  <si>
    <t>Produce laboratory data that is accurate, precise, and defensible.</t>
  </si>
  <si>
    <t>Explain how the different types of ion-selective electrodes are constructed.</t>
  </si>
  <si>
    <t>Correctly perform laboratory testing with ion-selective electrodes.</t>
  </si>
  <si>
    <t>Understand that ion-selective electrodes drift and that initial and continueing calibration verification checks are necessary to check for drift.</t>
  </si>
  <si>
    <t>List the required quality control samples and explain what information they give the analyst.</t>
  </si>
  <si>
    <t>Produce laboratory data that is accurate, precise, and defendable.</t>
  </si>
  <si>
    <t>NV24-725</t>
  </si>
  <si>
    <t>NV24-724</t>
  </si>
  <si>
    <t>NV24-720</t>
  </si>
  <si>
    <t>NV24-723</t>
  </si>
  <si>
    <t>NV24-722</t>
  </si>
  <si>
    <t>NV24-726</t>
  </si>
  <si>
    <t>NV24-719</t>
  </si>
  <si>
    <t>NV24-721</t>
  </si>
  <si>
    <t>25-05995-002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</si>
</sst>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0.000"/>
    <numFmt numFmtId="165" formatCode="0.0"/>
    <numFmt numFmtId="166" formatCode="&quot;$&quot;#,##0"/>
    <numFmt numFmtId="167" formatCode="0.0000"/>
    <numFmt numFmtId="168" formatCode="[$-409]h:mm\ AM/PM;@"/>
  </numFmts>
  <fonts count="20" x14ac:knownFonts="1">
    <font>
      <sz val="11"/>
      <color theme="1"/>
      <name val="Calibri"/>
      <family val="2"/>
      <scheme val="minor"/>
    </font>
    <font>
      <sz val="8"/>
      <name val="Calibri"/>
      <family val="2"/>
    </font>
    <font>
      <u/>
      <sz val="11"/>
      <color theme="10"/>
      <name val="Calibri"/>
      <family val="2"/>
      <scheme val="minor"/>
    </font>
    <font>
      <b/>
      <sz val="11"/>
      <color theme="1"/>
      <name val="Calibri"/>
      <family val="2"/>
      <scheme val="minor"/>
    </font>
    <font>
      <b/>
      <sz val="14"/>
      <color theme="1"/>
      <name val="Calibri"/>
      <family val="2"/>
      <scheme val="minor"/>
    </font>
    <font>
      <b/>
      <sz val="12"/>
      <color theme="1"/>
      <name val="Arial"/>
      <family val="2"/>
    </font>
    <font>
      <b/>
      <sz val="16"/>
      <color theme="1"/>
      <name val="Arial"/>
      <family val="2"/>
    </font>
    <font>
      <sz val="14"/>
      <color theme="1"/>
      <name val="Calibri"/>
      <family val="2"/>
      <scheme val="minor"/>
    </font>
    <font>
      <sz val="10"/>
      <color theme="1"/>
      <name val="Arial"/>
      <family val="2"/>
    </font>
    <font>
      <b/>
      <sz val="10"/>
      <color theme="1"/>
      <name val="Arial"/>
      <family val="2"/>
    </font>
    <font>
      <sz val="10"/>
      <color rgb="FF222222"/>
      <name val="Arial"/>
      <family val="2"/>
    </font>
    <font>
      <sz val="12"/>
      <color theme="1"/>
      <name val="Arial"/>
      <family val="2"/>
    </font>
    <font>
      <sz val="10"/>
      <name val="Arial"/>
      <family val="2"/>
    </font>
    <font>
      <b/>
      <sz val="10"/>
      <color rgb="FFFF0000"/>
      <name val="Arial"/>
      <family val="2"/>
    </font>
    <font>
      <b/>
      <sz val="10"/>
      <color theme="0"/>
      <name val="Arial"/>
      <family val="2"/>
    </font>
    <font>
      <sz val="8"/>
      <name val="Calibri"/>
      <family val="2"/>
      <scheme val="minor"/>
    </font>
    <font>
      <sz val="9"/>
      <color indexed="81"/>
      <name val="Tahoma"/>
      <family val="2"/>
    </font>
    <font>
      <b/>
      <sz val="9"/>
      <color indexed="81"/>
      <name val="Tahoma"/>
      <family val="2"/>
    </font>
    <font>
      <sz val="11"/>
      <color theme="1"/>
      <name val="Arial"/>
      <family val="2"/>
    </font>
    <font>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6"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auto="1"/>
      </top>
      <bottom style="thick">
        <color auto="1"/>
      </bottom>
      <diagonal/>
    </border>
    <border>
      <left/>
      <right/>
      <top/>
      <bottom style="double">
        <color indexed="64"/>
      </bottom>
      <diagonal/>
    </border>
    <border>
      <left style="thin">
        <color indexed="64"/>
      </left>
      <right style="medium">
        <color indexed="64"/>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693">
    <xf numFmtId="0" fontId="0" fillId="0" borderId="0" xfId="0"/>
    <xf numFmtId="0" fontId="0" fillId="0" borderId="0" xfId="0" applyAlignment="1">
      <alignment horizontal="center"/>
    </xf>
    <xf numFmtId="0" fontId="3" fillId="0" borderId="0" xfId="0" applyFont="1" applyAlignment="1">
      <alignment horizontal="center"/>
    </xf>
    <xf numFmtId="2" fontId="0" fillId="0" borderId="0" xfId="0" applyNumberFormat="1" applyAlignment="1">
      <alignment horizontal="center"/>
    </xf>
    <xf numFmtId="0" fontId="5" fillId="0" borderId="0" xfId="0" applyFont="1"/>
    <xf numFmtId="2" fontId="0" fillId="0" borderId="0" xfId="0" applyNumberFormat="1"/>
    <xf numFmtId="0" fontId="3" fillId="0" borderId="0" xfId="0" applyFont="1"/>
    <xf numFmtId="166" fontId="3" fillId="0" borderId="0" xfId="0" applyNumberFormat="1" applyFont="1" applyAlignment="1">
      <alignment horizontal="center"/>
    </xf>
    <xf numFmtId="0" fontId="6" fillId="0" borderId="0" xfId="0" applyFont="1"/>
    <xf numFmtId="0" fontId="4" fillId="0" borderId="0" xfId="0" applyFont="1"/>
    <xf numFmtId="0" fontId="7" fillId="0" borderId="0" xfId="0" applyFont="1" applyProtection="1">
      <protection locked="0"/>
    </xf>
    <xf numFmtId="0" fontId="8" fillId="0" borderId="0" xfId="0" applyFont="1"/>
    <xf numFmtId="0" fontId="8" fillId="0" borderId="0" xfId="0" applyFont="1" applyAlignment="1">
      <alignment horizontal="center"/>
    </xf>
    <xf numFmtId="0" fontId="8" fillId="0" borderId="41" xfId="0" applyFont="1" applyBorder="1"/>
    <xf numFmtId="0" fontId="8" fillId="0" borderId="41" xfId="0" applyFont="1" applyBorder="1" applyAlignment="1">
      <alignment horizontal="center"/>
    </xf>
    <xf numFmtId="0" fontId="0" fillId="0" borderId="41" xfId="0" applyBorder="1" applyAlignment="1">
      <alignment horizontal="center"/>
    </xf>
    <xf numFmtId="0" fontId="9" fillId="0" borderId="0" xfId="0" applyFont="1"/>
    <xf numFmtId="0" fontId="11" fillId="0" borderId="0" xfId="0" applyFont="1"/>
    <xf numFmtId="0" fontId="5" fillId="0" borderId="0" xfId="0" applyFont="1" applyAlignment="1">
      <alignment horizontal="center"/>
    </xf>
    <xf numFmtId="0" fontId="11" fillId="0" borderId="0" xfId="0" applyFont="1" applyAlignment="1">
      <alignment horizontal="center"/>
    </xf>
    <xf numFmtId="2" fontId="11" fillId="0" borderId="0" xfId="0" applyNumberFormat="1" applyFont="1"/>
    <xf numFmtId="2" fontId="11" fillId="0" borderId="0" xfId="0" applyNumberFormat="1" applyFont="1" applyAlignment="1">
      <alignment horizontal="center"/>
    </xf>
    <xf numFmtId="0" fontId="11" fillId="0" borderId="0" xfId="0" applyFont="1" applyAlignment="1">
      <alignment horizontal="right"/>
    </xf>
    <xf numFmtId="166" fontId="5" fillId="0" borderId="0" xfId="0" applyNumberFormat="1" applyFont="1" applyAlignment="1">
      <alignment horizontal="center"/>
    </xf>
    <xf numFmtId="6" fontId="11" fillId="0" borderId="0" xfId="0" applyNumberFormat="1" applyFont="1"/>
    <xf numFmtId="2" fontId="5" fillId="0" borderId="0" xfId="0" applyNumberFormat="1" applyFont="1" applyAlignment="1">
      <alignment horizontal="center"/>
    </xf>
    <xf numFmtId="1" fontId="5" fillId="0" borderId="0" xfId="0" applyNumberFormat="1" applyFont="1" applyAlignment="1">
      <alignment horizontal="center"/>
    </xf>
    <xf numFmtId="0" fontId="11" fillId="0" borderId="0" xfId="0" applyFont="1" applyAlignment="1">
      <alignment horizontal="left"/>
    </xf>
    <xf numFmtId="0" fontId="0" fillId="3" borderId="0" xfId="0" applyFill="1"/>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3" fillId="0" borderId="61" xfId="0" applyFont="1" applyBorder="1"/>
    <xf numFmtId="0" fontId="3" fillId="0" borderId="61" xfId="0" applyFont="1" applyBorder="1" applyAlignment="1">
      <alignment horizontal="center" vertical="center"/>
    </xf>
    <xf numFmtId="0" fontId="0" fillId="2" borderId="0" xfId="0" applyFill="1"/>
    <xf numFmtId="20" fontId="0" fillId="2" borderId="0" xfId="0" applyNumberFormat="1" applyFill="1" applyAlignment="1">
      <alignment horizontal="center" vertical="center"/>
    </xf>
    <xf numFmtId="0" fontId="0" fillId="2" borderId="0" xfId="0" applyFill="1" applyAlignment="1">
      <alignment horizontal="center" vertical="center"/>
    </xf>
    <xf numFmtId="0" fontId="0" fillId="0" borderId="62" xfId="0" applyBorder="1"/>
    <xf numFmtId="20" fontId="0" fillId="0" borderId="62" xfId="0" applyNumberFormat="1" applyBorder="1" applyAlignment="1">
      <alignment horizontal="center" vertical="center"/>
    </xf>
    <xf numFmtId="0" fontId="0" fillId="0" borderId="62" xfId="0" applyBorder="1" applyAlignment="1">
      <alignment horizontal="center" vertical="center"/>
    </xf>
    <xf numFmtId="2" fontId="0" fillId="0" borderId="0" xfId="0" applyNumberFormat="1" applyAlignment="1">
      <alignment horizontal="center" vertical="center"/>
    </xf>
    <xf numFmtId="2" fontId="8" fillId="0" borderId="22" xfId="1" applyNumberFormat="1" applyFont="1" applyFill="1" applyBorder="1" applyAlignment="1">
      <alignment horizontal="center" wrapText="1"/>
    </xf>
    <xf numFmtId="0" fontId="0" fillId="0" borderId="6" xfId="0" applyBorder="1"/>
    <xf numFmtId="20" fontId="0" fillId="0" borderId="6" xfId="0" applyNumberFormat="1" applyBorder="1" applyAlignment="1">
      <alignment horizontal="center" vertical="center"/>
    </xf>
    <xf numFmtId="2" fontId="0" fillId="0" borderId="6" xfId="0" applyNumberFormat="1" applyBorder="1" applyAlignment="1">
      <alignment horizontal="center" vertical="center"/>
    </xf>
    <xf numFmtId="0" fontId="3" fillId="0" borderId="0" xfId="0" quotePrefix="1" applyFont="1" applyAlignment="1">
      <alignment horizontal="center" vertical="center"/>
    </xf>
    <xf numFmtId="0" fontId="4" fillId="0" borderId="0" xfId="0" applyFont="1" applyAlignment="1">
      <alignment horizontal="center"/>
    </xf>
    <xf numFmtId="168" fontId="4" fillId="0" borderId="0" xfId="0" applyNumberFormat="1" applyFont="1" applyAlignment="1">
      <alignment horizontal="center" vertical="center"/>
    </xf>
    <xf numFmtId="168" fontId="0" fillId="0" borderId="0" xfId="0" applyNumberFormat="1" applyAlignment="1">
      <alignment horizontal="center" vertical="center"/>
    </xf>
    <xf numFmtId="168" fontId="3" fillId="0" borderId="61" xfId="0" applyNumberFormat="1" applyFont="1" applyBorder="1" applyAlignment="1">
      <alignment horizontal="center" vertical="center"/>
    </xf>
    <xf numFmtId="168" fontId="0" fillId="2" borderId="0" xfId="0" applyNumberFormat="1" applyFill="1" applyAlignment="1">
      <alignment horizontal="center" vertical="center"/>
    </xf>
    <xf numFmtId="168" fontId="0" fillId="0" borderId="62" xfId="0" applyNumberFormat="1" applyBorder="1" applyAlignment="1">
      <alignment horizontal="center" vertical="center"/>
    </xf>
    <xf numFmtId="168" fontId="3" fillId="0" borderId="0" xfId="0" applyNumberFormat="1" applyFont="1" applyAlignment="1">
      <alignment horizontal="center" vertical="center"/>
    </xf>
    <xf numFmtId="168" fontId="0" fillId="0" borderId="6" xfId="0" applyNumberFormat="1" applyBorder="1" applyAlignment="1">
      <alignment horizontal="center" vertical="center"/>
    </xf>
    <xf numFmtId="0" fontId="8" fillId="0" borderId="0" xfId="1" applyFont="1" applyFill="1" applyBorder="1" applyAlignment="1">
      <alignment horizontal="left" wrapText="1"/>
    </xf>
    <xf numFmtId="165" fontId="8" fillId="0" borderId="36" xfId="1" applyNumberFormat="1" applyFont="1" applyFill="1" applyBorder="1" applyAlignment="1">
      <alignment horizontal="center"/>
    </xf>
    <xf numFmtId="0" fontId="0" fillId="0" borderId="41" xfId="0" applyBorder="1"/>
    <xf numFmtId="168" fontId="0" fillId="0" borderId="41" xfId="0" applyNumberFormat="1" applyBorder="1" applyAlignment="1">
      <alignment horizontal="center" vertical="center"/>
    </xf>
    <xf numFmtId="20" fontId="0" fillId="0" borderId="41" xfId="0" applyNumberFormat="1" applyBorder="1" applyAlignment="1">
      <alignment horizontal="center" vertical="center"/>
    </xf>
    <xf numFmtId="0" fontId="0" fillId="0" borderId="41" xfId="0" applyBorder="1" applyAlignment="1">
      <alignment horizontal="center" vertical="center"/>
    </xf>
    <xf numFmtId="0" fontId="0" fillId="2" borderId="0" xfId="0" applyFill="1" applyAlignment="1">
      <alignment horizontal="center"/>
    </xf>
    <xf numFmtId="0" fontId="0" fillId="0" borderId="0" xfId="0" applyProtection="1">
      <protection locked="0"/>
    </xf>
    <xf numFmtId="166" fontId="0" fillId="0" borderId="0" xfId="0" applyNumberFormat="1" applyAlignment="1">
      <alignment horizontal="center"/>
    </xf>
    <xf numFmtId="165" fontId="8" fillId="0" borderId="12" xfId="1" applyNumberFormat="1" applyFont="1" applyFill="1" applyBorder="1" applyAlignment="1">
      <alignment horizontal="center"/>
    </xf>
    <xf numFmtId="0" fontId="18" fillId="0" borderId="54" xfId="0" applyFont="1" applyBorder="1"/>
    <xf numFmtId="0" fontId="18" fillId="0" borderId="1" xfId="0" applyFont="1" applyBorder="1" applyAlignment="1">
      <alignment horizontal="left" wrapText="1"/>
    </xf>
    <xf numFmtId="0" fontId="19" fillId="0" borderId="54" xfId="0" applyFont="1" applyBorder="1"/>
    <xf numFmtId="0" fontId="19" fillId="0" borderId="1" xfId="0" applyFont="1" applyBorder="1" applyAlignment="1">
      <alignment horizontal="left" wrapText="1"/>
    </xf>
    <xf numFmtId="2" fontId="18" fillId="0" borderId="1" xfId="0" applyNumberFormat="1" applyFont="1" applyBorder="1" applyAlignment="1">
      <alignment horizontal="left" wrapText="1"/>
    </xf>
    <xf numFmtId="0" fontId="18" fillId="0" borderId="1" xfId="0" applyFont="1" applyBorder="1"/>
    <xf numFmtId="2" fontId="18" fillId="0" borderId="1" xfId="0" applyNumberFormat="1" applyFont="1" applyBorder="1" applyAlignment="1">
      <alignment horizontal="center"/>
    </xf>
    <xf numFmtId="2" fontId="18" fillId="0" borderId="67" xfId="0" applyNumberFormat="1" applyFont="1" applyBorder="1" applyAlignment="1">
      <alignment horizontal="center"/>
    </xf>
    <xf numFmtId="0" fontId="0" fillId="0" borderId="1" xfId="0" applyBorder="1"/>
    <xf numFmtId="0" fontId="18" fillId="0" borderId="17" xfId="0" applyFont="1" applyBorder="1"/>
    <xf numFmtId="0" fontId="18" fillId="0" borderId="10" xfId="0" applyFont="1" applyBorder="1" applyAlignment="1">
      <alignment horizontal="left" wrapText="1"/>
    </xf>
    <xf numFmtId="0" fontId="18" fillId="0" borderId="56" xfId="0" applyFont="1" applyBorder="1"/>
    <xf numFmtId="0" fontId="18" fillId="0" borderId="30" xfId="0" applyFont="1" applyBorder="1"/>
    <xf numFmtId="0" fontId="18" fillId="0" borderId="30" xfId="0" applyFont="1" applyBorder="1" applyAlignment="1">
      <alignment horizontal="center"/>
    </xf>
    <xf numFmtId="0" fontId="18" fillId="0" borderId="66" xfId="0" applyFont="1" applyBorder="1" applyAlignment="1">
      <alignment horizontal="center"/>
    </xf>
    <xf numFmtId="2" fontId="18" fillId="0" borderId="10" xfId="0" applyNumberFormat="1" applyFont="1" applyBorder="1" applyAlignment="1">
      <alignment horizontal="center"/>
    </xf>
    <xf numFmtId="2" fontId="18" fillId="0" borderId="15" xfId="0" applyNumberFormat="1" applyFont="1" applyBorder="1" applyAlignment="1">
      <alignment horizontal="center"/>
    </xf>
    <xf numFmtId="0" fontId="9" fillId="0" borderId="0" xfId="0" applyFont="1" applyAlignment="1">
      <alignment horizontal="center" wrapText="1"/>
    </xf>
    <xf numFmtId="0" fontId="9" fillId="0" borderId="10" xfId="0" applyFont="1" applyBorder="1" applyAlignment="1">
      <alignment wrapText="1"/>
    </xf>
    <xf numFmtId="0" fontId="9" fillId="0" borderId="17" xfId="0" applyFont="1" applyBorder="1" applyAlignment="1">
      <alignment horizontal="center" wrapText="1"/>
    </xf>
    <xf numFmtId="0" fontId="9" fillId="0" borderId="17" xfId="0" applyFont="1" applyBorder="1" applyAlignment="1">
      <alignment horizontal="left" wrapText="1"/>
    </xf>
    <xf numFmtId="165" fontId="9" fillId="0" borderId="21" xfId="0" applyNumberFormat="1" applyFont="1" applyBorder="1" applyAlignment="1">
      <alignment horizontal="center" wrapText="1"/>
    </xf>
    <xf numFmtId="165" fontId="9" fillId="0" borderId="0" xfId="0" applyNumberFormat="1" applyFont="1" applyAlignment="1">
      <alignment horizontal="center" wrapText="1"/>
    </xf>
    <xf numFmtId="2" fontId="9" fillId="0" borderId="0" xfId="0" applyNumberFormat="1" applyFont="1" applyAlignment="1">
      <alignment horizontal="center" wrapText="1"/>
    </xf>
    <xf numFmtId="2" fontId="9" fillId="0" borderId="20" xfId="0" applyNumberFormat="1" applyFont="1" applyBorder="1" applyAlignment="1">
      <alignment horizontal="center" wrapText="1"/>
    </xf>
    <xf numFmtId="2" fontId="9" fillId="0" borderId="18" xfId="0" applyNumberFormat="1" applyFont="1" applyBorder="1" applyAlignment="1">
      <alignment horizontal="center" wrapText="1"/>
    </xf>
    <xf numFmtId="2" fontId="9" fillId="0" borderId="25" xfId="0" applyNumberFormat="1" applyFont="1" applyBorder="1" applyAlignment="1">
      <alignment horizontal="center" wrapText="1"/>
    </xf>
    <xf numFmtId="0" fontId="9" fillId="0" borderId="19" xfId="0" applyFont="1" applyBorder="1" applyAlignment="1">
      <alignment horizontal="center" wrapText="1"/>
    </xf>
    <xf numFmtId="165" fontId="9" fillId="0" borderId="20" xfId="0" applyNumberFormat="1" applyFont="1" applyBorder="1" applyAlignment="1">
      <alignment horizontal="center" wrapText="1"/>
    </xf>
    <xf numFmtId="165" fontId="9" fillId="0" borderId="18" xfId="0" applyNumberFormat="1" applyFont="1" applyBorder="1" applyAlignment="1">
      <alignment horizontal="center" wrapText="1"/>
    </xf>
    <xf numFmtId="165" fontId="9" fillId="0" borderId="25" xfId="0" applyNumberFormat="1" applyFont="1" applyBorder="1" applyAlignment="1">
      <alignment horizontal="center" wrapText="1"/>
    </xf>
    <xf numFmtId="0" fontId="9" fillId="0" borderId="20" xfId="0" applyFont="1" applyBorder="1" applyAlignment="1">
      <alignment horizontal="center" wrapText="1"/>
    </xf>
    <xf numFmtId="165" fontId="9" fillId="0" borderId="19" xfId="0" applyNumberFormat="1" applyFont="1" applyBorder="1" applyAlignment="1">
      <alignment horizontal="center" wrapText="1"/>
    </xf>
    <xf numFmtId="0" fontId="9" fillId="0" borderId="68" xfId="0" applyFont="1" applyBorder="1" applyAlignment="1">
      <alignment horizontal="center" wrapText="1"/>
    </xf>
    <xf numFmtId="165" fontId="9" fillId="0" borderId="10" xfId="0" applyNumberFormat="1" applyFont="1" applyBorder="1" applyAlignment="1">
      <alignment horizontal="center" wrapText="1"/>
    </xf>
    <xf numFmtId="0" fontId="9" fillId="0" borderId="15"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167" fontId="9" fillId="0" borderId="10" xfId="0" applyNumberFormat="1" applyFont="1" applyBorder="1" applyAlignment="1">
      <alignment horizontal="center" wrapText="1"/>
    </xf>
    <xf numFmtId="0" fontId="9" fillId="0" borderId="1" xfId="0" applyFont="1" applyBorder="1"/>
    <xf numFmtId="0" fontId="9" fillId="0" borderId="0" xfId="0" applyFont="1" applyAlignment="1">
      <alignment wrapText="1"/>
    </xf>
    <xf numFmtId="0" fontId="9" fillId="0" borderId="21" xfId="0" applyFont="1" applyBorder="1" applyAlignment="1">
      <alignment wrapText="1"/>
    </xf>
    <xf numFmtId="0" fontId="9" fillId="0" borderId="21" xfId="0" applyFont="1" applyBorder="1" applyAlignment="1">
      <alignment horizontal="center" wrapText="1"/>
    </xf>
    <xf numFmtId="0" fontId="9" fillId="0" borderId="12" xfId="0" applyFont="1" applyBorder="1" applyAlignment="1">
      <alignment horizontal="left" wrapText="1"/>
    </xf>
    <xf numFmtId="165" fontId="9" fillId="0" borderId="22" xfId="0" applyNumberFormat="1" applyFont="1" applyBorder="1" applyAlignment="1">
      <alignment horizontal="center" wrapText="1"/>
    </xf>
    <xf numFmtId="0" fontId="9" fillId="0" borderId="14" xfId="0" applyFont="1" applyBorder="1" applyAlignment="1">
      <alignment horizontal="center" wrapText="1"/>
    </xf>
    <xf numFmtId="2" fontId="9" fillId="0" borderId="7" xfId="0" applyNumberFormat="1" applyFont="1" applyBorder="1" applyAlignment="1">
      <alignment horizontal="center" wrapText="1"/>
    </xf>
    <xf numFmtId="2" fontId="9" fillId="0" borderId="11" xfId="0" applyNumberFormat="1" applyFont="1" applyBorder="1" applyAlignment="1">
      <alignment horizontal="center" wrapText="1"/>
    </xf>
    <xf numFmtId="2" fontId="9" fillId="0" borderId="12" xfId="0" applyNumberFormat="1" applyFont="1" applyBorder="1" applyAlignment="1">
      <alignment horizontal="center" wrapText="1"/>
    </xf>
    <xf numFmtId="165" fontId="9" fillId="0" borderId="7" xfId="0" applyNumberFormat="1" applyFont="1" applyBorder="1" applyAlignment="1">
      <alignment horizontal="center" wrapText="1"/>
    </xf>
    <xf numFmtId="165" fontId="9" fillId="0" borderId="11" xfId="0" applyNumberFormat="1" applyFont="1" applyBorder="1" applyAlignment="1">
      <alignment horizontal="center" wrapText="1"/>
    </xf>
    <xf numFmtId="165" fontId="9" fillId="0" borderId="12" xfId="0" applyNumberFormat="1" applyFont="1" applyBorder="1" applyAlignment="1">
      <alignment horizontal="center" wrapText="1"/>
    </xf>
    <xf numFmtId="0" fontId="9" fillId="0" borderId="7" xfId="0" applyFont="1" applyBorder="1" applyAlignment="1">
      <alignment horizontal="center" wrapText="1"/>
    </xf>
    <xf numFmtId="165" fontId="9" fillId="0" borderId="14" xfId="0" applyNumberFormat="1" applyFont="1" applyBorder="1" applyAlignment="1">
      <alignment horizontal="center" wrapText="1"/>
    </xf>
    <xf numFmtId="0" fontId="9" fillId="0" borderId="65" xfId="0" applyFont="1" applyBorder="1" applyAlignment="1">
      <alignment horizontal="center" wrapText="1"/>
    </xf>
    <xf numFmtId="0" fontId="9" fillId="0" borderId="11" xfId="0" applyFont="1" applyBorder="1" applyAlignment="1">
      <alignment horizontal="center" wrapText="1"/>
    </xf>
    <xf numFmtId="0" fontId="9" fillId="0" borderId="32" xfId="0" applyFont="1" applyBorder="1" applyAlignment="1">
      <alignment horizontal="center" wrapText="1"/>
    </xf>
    <xf numFmtId="0" fontId="9" fillId="0" borderId="36" xfId="0" applyFont="1" applyBorder="1" applyAlignment="1">
      <alignment horizontal="center" wrapText="1"/>
    </xf>
    <xf numFmtId="167" fontId="9" fillId="0" borderId="14" xfId="0" applyNumberFormat="1" applyFont="1" applyBorder="1" applyAlignment="1">
      <alignment horizontal="center" wrapText="1"/>
    </xf>
    <xf numFmtId="165" fontId="9" fillId="0" borderId="65" xfId="0" applyNumberFormat="1" applyFont="1" applyBorder="1" applyAlignment="1">
      <alignment horizontal="center" wrapText="1"/>
    </xf>
    <xf numFmtId="0" fontId="14" fillId="0" borderId="21" xfId="0" applyFont="1" applyBorder="1" applyAlignment="1">
      <alignment wrapText="1"/>
    </xf>
    <xf numFmtId="0" fontId="14" fillId="0" borderId="12" xfId="0" applyFont="1" applyBorder="1" applyAlignment="1">
      <alignment horizontal="center" wrapText="1"/>
    </xf>
    <xf numFmtId="0" fontId="14" fillId="0" borderId="12" xfId="0" applyFont="1" applyBorder="1" applyAlignment="1">
      <alignment horizontal="left" wrapText="1"/>
    </xf>
    <xf numFmtId="165" fontId="9" fillId="0" borderId="36" xfId="0" applyNumberFormat="1" applyFont="1" applyBorder="1" applyAlignment="1">
      <alignment horizontal="center" wrapText="1"/>
    </xf>
    <xf numFmtId="2" fontId="9" fillId="0" borderId="22" xfId="0" applyNumberFormat="1" applyFont="1" applyBorder="1" applyAlignment="1">
      <alignment horizontal="center" wrapText="1"/>
    </xf>
    <xf numFmtId="1" fontId="9" fillId="0" borderId="7" xfId="0" applyNumberFormat="1" applyFont="1" applyBorder="1" applyAlignment="1">
      <alignment horizontal="center" wrapText="1"/>
    </xf>
    <xf numFmtId="1" fontId="9" fillId="0" borderId="11" xfId="0" applyNumberFormat="1" applyFont="1" applyBorder="1" applyAlignment="1">
      <alignment horizontal="center" wrapText="1"/>
    </xf>
    <xf numFmtId="1" fontId="9" fillId="0" borderId="12" xfId="0" applyNumberFormat="1" applyFont="1" applyBorder="1" applyAlignment="1">
      <alignment horizontal="center" wrapText="1"/>
    </xf>
    <xf numFmtId="0" fontId="8" fillId="0" borderId="21" xfId="0" applyFont="1" applyBorder="1"/>
    <xf numFmtId="0" fontId="8" fillId="0" borderId="21" xfId="0" applyFont="1" applyBorder="1" applyAlignment="1">
      <alignment horizontal="center"/>
    </xf>
    <xf numFmtId="0" fontId="9" fillId="0" borderId="12" xfId="0" applyFont="1" applyBorder="1" applyAlignment="1">
      <alignment horizontal="left"/>
    </xf>
    <xf numFmtId="2" fontId="8" fillId="0" borderId="7" xfId="0" applyNumberFormat="1" applyFont="1" applyBorder="1" applyAlignment="1">
      <alignment horizontal="center"/>
    </xf>
    <xf numFmtId="2" fontId="8" fillId="0" borderId="7" xfId="0" applyNumberFormat="1" applyFont="1" applyBorder="1" applyAlignment="1">
      <alignment horizontal="left"/>
    </xf>
    <xf numFmtId="2" fontId="8" fillId="0" borderId="11" xfId="0" applyNumberFormat="1" applyFont="1" applyBorder="1" applyAlignment="1">
      <alignment horizontal="center"/>
    </xf>
    <xf numFmtId="2" fontId="8" fillId="0" borderId="12" xfId="0" applyNumberFormat="1" applyFont="1" applyBorder="1" applyAlignment="1">
      <alignment horizontal="center"/>
    </xf>
    <xf numFmtId="0" fontId="8" fillId="0" borderId="14" xfId="0" applyFont="1" applyBorder="1" applyAlignment="1">
      <alignment horizontal="center"/>
    </xf>
    <xf numFmtId="165" fontId="8" fillId="0" borderId="7" xfId="0" applyNumberFormat="1" applyFont="1" applyBorder="1" applyAlignment="1">
      <alignment horizontal="center"/>
    </xf>
    <xf numFmtId="165" fontId="8" fillId="0" borderId="11" xfId="0" applyNumberFormat="1" applyFont="1" applyBorder="1" applyAlignment="1">
      <alignment horizontal="center"/>
    </xf>
    <xf numFmtId="165" fontId="8" fillId="0" borderId="12" xfId="0" applyNumberFormat="1" applyFont="1" applyBorder="1" applyAlignment="1">
      <alignment horizontal="center"/>
    </xf>
    <xf numFmtId="0" fontId="8" fillId="0" borderId="7" xfId="0" applyFont="1" applyBorder="1" applyAlignment="1">
      <alignment horizontal="center"/>
    </xf>
    <xf numFmtId="165" fontId="8" fillId="0" borderId="14" xfId="0" applyNumberFormat="1" applyFont="1" applyBorder="1" applyAlignment="1">
      <alignment horizontal="center"/>
    </xf>
    <xf numFmtId="0" fontId="8" fillId="0" borderId="14" xfId="0" applyFont="1" applyBorder="1" applyAlignment="1">
      <alignment horizontal="center" wrapText="1"/>
    </xf>
    <xf numFmtId="0" fontId="8" fillId="0" borderId="65" xfId="0" applyFont="1" applyBorder="1" applyAlignment="1">
      <alignment horizontal="center" wrapText="1"/>
    </xf>
    <xf numFmtId="165" fontId="9" fillId="0" borderId="7" xfId="0" applyNumberFormat="1" applyFont="1" applyBorder="1" applyAlignment="1">
      <alignment horizontal="center"/>
    </xf>
    <xf numFmtId="0" fontId="9" fillId="0" borderId="65" xfId="0" applyFont="1" applyBorder="1" applyAlignment="1">
      <alignment horizontal="center"/>
    </xf>
    <xf numFmtId="0" fontId="9" fillId="0" borderId="11" xfId="0" applyFont="1" applyBorder="1" applyAlignment="1">
      <alignment horizontal="center"/>
    </xf>
    <xf numFmtId="0" fontId="8" fillId="0" borderId="32" xfId="0" applyFont="1" applyBorder="1" applyAlignment="1">
      <alignment horizontal="center"/>
    </xf>
    <xf numFmtId="165" fontId="8" fillId="0" borderId="65" xfId="0" applyNumberFormat="1" applyFont="1" applyBorder="1" applyAlignment="1">
      <alignment horizontal="center"/>
    </xf>
    <xf numFmtId="0" fontId="8" fillId="0" borderId="11" xfId="0" applyFont="1" applyBorder="1" applyAlignment="1">
      <alignment horizontal="center"/>
    </xf>
    <xf numFmtId="0" fontId="8" fillId="0" borderId="36" xfId="0" applyFont="1" applyBorder="1" applyAlignment="1">
      <alignment horizontal="center"/>
    </xf>
    <xf numFmtId="0" fontId="8" fillId="0" borderId="21" xfId="0" applyFont="1" applyBorder="1" applyAlignment="1">
      <alignment horizontal="center" wrapText="1"/>
    </xf>
    <xf numFmtId="0" fontId="8" fillId="0" borderId="11" xfId="0" applyFont="1" applyBorder="1" applyAlignment="1">
      <alignment horizontal="center" wrapText="1"/>
    </xf>
    <xf numFmtId="165" fontId="8" fillId="0" borderId="7" xfId="0" applyNumberFormat="1" applyFont="1" applyBorder="1" applyAlignment="1">
      <alignment horizontal="center" wrapText="1"/>
    </xf>
    <xf numFmtId="165" fontId="8" fillId="0" borderId="11" xfId="0" applyNumberFormat="1" applyFont="1" applyBorder="1" applyAlignment="1">
      <alignment horizontal="center" wrapText="1"/>
    </xf>
    <xf numFmtId="167" fontId="8" fillId="0" borderId="14" xfId="0" applyNumberFormat="1" applyFont="1" applyBorder="1" applyAlignment="1">
      <alignment horizontal="center" wrapText="1"/>
    </xf>
    <xf numFmtId="0" fontId="8" fillId="0" borderId="7" xfId="0" applyFont="1" applyBorder="1" applyAlignment="1">
      <alignment horizontal="center" wrapText="1"/>
    </xf>
    <xf numFmtId="165" fontId="8" fillId="0" borderId="65" xfId="0" applyNumberFormat="1" applyFont="1" applyBorder="1" applyAlignment="1">
      <alignment horizontal="center" wrapText="1"/>
    </xf>
    <xf numFmtId="0" fontId="9" fillId="0" borderId="1" xfId="0" applyFont="1" applyBorder="1" applyAlignment="1">
      <alignment horizontal="left"/>
    </xf>
    <xf numFmtId="0" fontId="8" fillId="0" borderId="1" xfId="0" applyFont="1" applyBorder="1"/>
    <xf numFmtId="0" fontId="8" fillId="0" borderId="42" xfId="0" applyFont="1" applyBorder="1"/>
    <xf numFmtId="0" fontId="8" fillId="0" borderId="42" xfId="0" applyFont="1" applyBorder="1" applyAlignment="1">
      <alignment horizontal="center"/>
    </xf>
    <xf numFmtId="0" fontId="8" fillId="0" borderId="44" xfId="0" applyFont="1" applyBorder="1" applyAlignment="1">
      <alignment horizontal="center"/>
    </xf>
    <xf numFmtId="165" fontId="8" fillId="0" borderId="43" xfId="0" applyNumberFormat="1" applyFont="1" applyBorder="1" applyAlignment="1">
      <alignment horizontal="center"/>
    </xf>
    <xf numFmtId="2" fontId="8" fillId="0" borderId="43" xfId="0" applyNumberFormat="1" applyFont="1" applyBorder="1" applyAlignment="1">
      <alignment horizontal="center"/>
    </xf>
    <xf numFmtId="2" fontId="8" fillId="0" borderId="30" xfId="0" applyNumberFormat="1" applyFont="1" applyBorder="1" applyAlignment="1">
      <alignment horizontal="center"/>
    </xf>
    <xf numFmtId="2" fontId="8" fillId="0" borderId="31" xfId="0" applyNumberFormat="1" applyFont="1" applyBorder="1" applyAlignment="1">
      <alignment horizontal="center"/>
    </xf>
    <xf numFmtId="0" fontId="8" fillId="0" borderId="29" xfId="0" applyFont="1" applyBorder="1" applyAlignment="1">
      <alignment horizontal="center"/>
    </xf>
    <xf numFmtId="165" fontId="8" fillId="0" borderId="30" xfId="0" applyNumberFormat="1" applyFont="1" applyBorder="1" applyAlignment="1">
      <alignment horizontal="center"/>
    </xf>
    <xf numFmtId="165" fontId="8" fillId="0" borderId="31" xfId="0" applyNumberFormat="1" applyFont="1" applyBorder="1" applyAlignment="1">
      <alignment horizontal="center"/>
    </xf>
    <xf numFmtId="165" fontId="8" fillId="0" borderId="41" xfId="0" applyNumberFormat="1" applyFont="1" applyBorder="1" applyAlignment="1">
      <alignment horizontal="center"/>
    </xf>
    <xf numFmtId="0" fontId="8" fillId="0" borderId="29" xfId="0" quotePrefix="1" applyFont="1" applyBorder="1" applyAlignment="1">
      <alignment horizontal="center"/>
    </xf>
    <xf numFmtId="0" fontId="8" fillId="0" borderId="30" xfId="0" applyFont="1" applyBorder="1" applyAlignment="1">
      <alignment horizontal="center"/>
    </xf>
    <xf numFmtId="165" fontId="8" fillId="0" borderId="29" xfId="0" applyNumberFormat="1" applyFont="1" applyBorder="1" applyAlignment="1">
      <alignment horizontal="center"/>
    </xf>
    <xf numFmtId="0" fontId="8" fillId="0" borderId="29" xfId="0" applyFont="1" applyBorder="1" applyAlignment="1">
      <alignment horizontal="center" wrapText="1"/>
    </xf>
    <xf numFmtId="0" fontId="8" fillId="0" borderId="66" xfId="0" applyFont="1" applyBorder="1" applyAlignment="1">
      <alignment horizontal="center" wrapText="1"/>
    </xf>
    <xf numFmtId="0" fontId="8" fillId="0" borderId="66" xfId="0" applyFont="1" applyBorder="1" applyAlignment="1">
      <alignment horizontal="center"/>
    </xf>
    <xf numFmtId="0" fontId="8" fillId="0" borderId="56" xfId="0" applyFont="1" applyBorder="1" applyAlignment="1">
      <alignment horizontal="center"/>
    </xf>
    <xf numFmtId="165" fontId="8" fillId="0" borderId="66" xfId="0" applyNumberFormat="1" applyFont="1" applyBorder="1" applyAlignment="1">
      <alignment horizontal="center"/>
    </xf>
    <xf numFmtId="0" fontId="8" fillId="0" borderId="31" xfId="0" applyFont="1" applyBorder="1" applyAlignment="1">
      <alignment horizontal="center"/>
    </xf>
    <xf numFmtId="165" fontId="8" fillId="0" borderId="29" xfId="0" applyNumberFormat="1" applyFont="1" applyBorder="1" applyAlignment="1">
      <alignment horizontal="center" wrapText="1"/>
    </xf>
    <xf numFmtId="0" fontId="8" fillId="0" borderId="31" xfId="0" applyFont="1" applyBorder="1" applyAlignment="1">
      <alignment horizontal="center" wrapText="1"/>
    </xf>
    <xf numFmtId="165" fontId="8" fillId="0" borderId="30" xfId="0" applyNumberFormat="1" applyFont="1" applyBorder="1" applyAlignment="1">
      <alignment horizontal="center" wrapText="1"/>
    </xf>
    <xf numFmtId="165" fontId="8" fillId="0" borderId="31" xfId="0" applyNumberFormat="1" applyFont="1" applyBorder="1" applyAlignment="1">
      <alignment horizontal="center" wrapText="1"/>
    </xf>
    <xf numFmtId="167" fontId="8" fillId="0" borderId="29" xfId="0" applyNumberFormat="1" applyFont="1" applyBorder="1" applyAlignment="1">
      <alignment horizontal="center" wrapText="1"/>
    </xf>
    <xf numFmtId="0" fontId="8" fillId="0" borderId="30" xfId="0" applyFont="1" applyBorder="1" applyAlignment="1">
      <alignment horizontal="center" wrapText="1"/>
    </xf>
    <xf numFmtId="165" fontId="8" fillId="0" borderId="66" xfId="0" applyNumberFormat="1" applyFont="1" applyBorder="1" applyAlignment="1">
      <alignment horizontal="center" wrapText="1"/>
    </xf>
    <xf numFmtId="0" fontId="8" fillId="0" borderId="1" xfId="0" applyFont="1" applyBorder="1" applyAlignment="1">
      <alignment horizontal="left"/>
    </xf>
    <xf numFmtId="0" fontId="8" fillId="0" borderId="4" xfId="0" applyFont="1" applyBorder="1"/>
    <xf numFmtId="0" fontId="8" fillId="0" borderId="4" xfId="0" applyFont="1" applyBorder="1" applyAlignment="1">
      <alignment horizontal="center"/>
    </xf>
    <xf numFmtId="164" fontId="8" fillId="0" borderId="37" xfId="0" applyNumberFormat="1" applyFont="1" applyBorder="1" applyAlignment="1">
      <alignment horizontal="left" wrapText="1"/>
    </xf>
    <xf numFmtId="0" fontId="8" fillId="0" borderId="37" xfId="0" applyFont="1" applyBorder="1" applyAlignment="1">
      <alignment horizontal="center"/>
    </xf>
    <xf numFmtId="165" fontId="8" fillId="0" borderId="4" xfId="0" applyNumberFormat="1" applyFont="1" applyBorder="1" applyAlignment="1">
      <alignment horizontal="center"/>
    </xf>
    <xf numFmtId="165" fontId="8" fillId="0" borderId="16" xfId="0" applyNumberFormat="1" applyFont="1" applyBorder="1" applyAlignment="1">
      <alignment horizontal="center"/>
    </xf>
    <xf numFmtId="2" fontId="8" fillId="0" borderId="16" xfId="0" applyNumberFormat="1" applyFont="1" applyBorder="1" applyAlignment="1">
      <alignment horizontal="center"/>
    </xf>
    <xf numFmtId="2" fontId="8" fillId="0" borderId="1" xfId="0" applyNumberFormat="1" applyFont="1" applyBorder="1" applyAlignment="1">
      <alignment horizontal="center"/>
    </xf>
    <xf numFmtId="2" fontId="8" fillId="0" borderId="2" xfId="0" applyNumberFormat="1" applyFont="1" applyBorder="1" applyAlignment="1">
      <alignment horizontal="center"/>
    </xf>
    <xf numFmtId="2" fontId="8" fillId="0" borderId="5" xfId="0" applyNumberFormat="1" applyFont="1" applyBorder="1" applyAlignment="1">
      <alignment horizontal="center"/>
    </xf>
    <xf numFmtId="0" fontId="8" fillId="0" borderId="3" xfId="0" applyFont="1" applyBorder="1" applyAlignment="1">
      <alignment horizontal="center"/>
    </xf>
    <xf numFmtId="165" fontId="8" fillId="0" borderId="1" xfId="0" applyNumberFormat="1" applyFont="1" applyBorder="1" applyAlignment="1">
      <alignment horizontal="center"/>
    </xf>
    <xf numFmtId="165" fontId="8" fillId="0" borderId="2" xfId="0" applyNumberFormat="1" applyFont="1" applyBorder="1" applyAlignment="1">
      <alignment horizontal="center"/>
    </xf>
    <xf numFmtId="165" fontId="8" fillId="0" borderId="5" xfId="0" applyNumberFormat="1" applyFont="1" applyBorder="1" applyAlignment="1">
      <alignment horizontal="center"/>
    </xf>
    <xf numFmtId="0" fontId="8" fillId="0" borderId="1" xfId="0" applyFont="1" applyBorder="1" applyAlignment="1">
      <alignment horizontal="center"/>
    </xf>
    <xf numFmtId="165" fontId="8" fillId="0" borderId="3" xfId="0" applyNumberFormat="1" applyFont="1" applyBorder="1" applyAlignment="1">
      <alignment horizontal="center"/>
    </xf>
    <xf numFmtId="0" fontId="8" fillId="0" borderId="3" xfId="0" applyFont="1" applyBorder="1" applyAlignment="1">
      <alignment horizontal="center" wrapText="1"/>
    </xf>
    <xf numFmtId="0" fontId="8" fillId="0" borderId="67" xfId="0" applyFont="1" applyBorder="1" applyAlignment="1">
      <alignment horizontal="center" wrapText="1"/>
    </xf>
    <xf numFmtId="0" fontId="8" fillId="0" borderId="67" xfId="0" applyFont="1" applyBorder="1" applyAlignment="1">
      <alignment horizontal="center"/>
    </xf>
    <xf numFmtId="0" fontId="8" fillId="0" borderId="54" xfId="0" applyFont="1" applyBorder="1" applyAlignment="1">
      <alignment horizontal="center"/>
    </xf>
    <xf numFmtId="165" fontId="8" fillId="0" borderId="67" xfId="0" applyNumberFormat="1"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wrapText="1"/>
    </xf>
    <xf numFmtId="165" fontId="8" fillId="0" borderId="3" xfId="0" applyNumberFormat="1" applyFont="1" applyBorder="1" applyAlignment="1">
      <alignment horizontal="center" wrapText="1"/>
    </xf>
    <xf numFmtId="0" fontId="8" fillId="0" borderId="2" xfId="0" applyFont="1" applyBorder="1" applyAlignment="1">
      <alignment horizontal="center" wrapText="1"/>
    </xf>
    <xf numFmtId="165" fontId="8" fillId="0" borderId="1" xfId="0" applyNumberFormat="1" applyFont="1" applyBorder="1" applyAlignment="1">
      <alignment horizontal="center" wrapText="1"/>
    </xf>
    <xf numFmtId="165" fontId="8" fillId="0" borderId="2" xfId="0" applyNumberFormat="1" applyFont="1" applyBorder="1" applyAlignment="1">
      <alignment horizontal="center" wrapText="1"/>
    </xf>
    <xf numFmtId="167" fontId="8" fillId="0" borderId="3" xfId="0" applyNumberFormat="1" applyFont="1" applyBorder="1" applyAlignment="1">
      <alignment horizontal="center" wrapText="1"/>
    </xf>
    <xf numFmtId="0" fontId="8" fillId="0" borderId="1" xfId="0" applyFont="1" applyBorder="1" applyAlignment="1">
      <alignment horizontal="center" wrapText="1"/>
    </xf>
    <xf numFmtId="165" fontId="8" fillId="0" borderId="67" xfId="0" applyNumberFormat="1" applyFont="1" applyBorder="1" applyAlignment="1">
      <alignment horizontal="center" wrapText="1"/>
    </xf>
    <xf numFmtId="0" fontId="8" fillId="0" borderId="1" xfId="0" applyFont="1" applyBorder="1" applyAlignment="1">
      <alignment vertical="center"/>
    </xf>
    <xf numFmtId="0" fontId="8" fillId="0" borderId="3" xfId="0" applyFont="1" applyBorder="1" applyAlignment="1">
      <alignment horizontal="center" vertical="center"/>
    </xf>
    <xf numFmtId="0" fontId="8" fillId="0" borderId="3" xfId="0" quotePrefix="1" applyFont="1" applyBorder="1" applyAlignment="1">
      <alignment horizontal="center"/>
    </xf>
    <xf numFmtId="0" fontId="8" fillId="0" borderId="5" xfId="0" applyFont="1" applyBorder="1" applyAlignment="1">
      <alignment horizontal="center"/>
    </xf>
    <xf numFmtId="164" fontId="8" fillId="0" borderId="44" xfId="0" applyNumberFormat="1" applyFont="1" applyBorder="1" applyAlignment="1">
      <alignment horizontal="left" wrapText="1"/>
    </xf>
    <xf numFmtId="165" fontId="8" fillId="0" borderId="42" xfId="0" applyNumberFormat="1" applyFont="1" applyBorder="1" applyAlignment="1">
      <alignment horizontal="center"/>
    </xf>
    <xf numFmtId="0" fontId="8" fillId="0" borderId="29" xfId="0" applyFont="1" applyBorder="1" applyAlignment="1">
      <alignment horizontal="center" vertical="center"/>
    </xf>
    <xf numFmtId="0" fontId="8" fillId="0" borderId="42" xfId="0" applyFont="1" applyBorder="1" applyAlignment="1">
      <alignment horizontal="center" wrapText="1"/>
    </xf>
    <xf numFmtId="0" fontId="8" fillId="0" borderId="71" xfId="0" applyFont="1" applyBorder="1"/>
    <xf numFmtId="0" fontId="8" fillId="0" borderId="74" xfId="0" applyFont="1" applyBorder="1" applyAlignment="1">
      <alignment horizontal="center"/>
    </xf>
    <xf numFmtId="164" fontId="8" fillId="0" borderId="52" xfId="0" applyNumberFormat="1" applyFont="1" applyBorder="1" applyAlignment="1">
      <alignment horizontal="left" wrapText="1"/>
    </xf>
    <xf numFmtId="0" fontId="8" fillId="0" borderId="51" xfId="0" applyFont="1" applyBorder="1" applyAlignment="1">
      <alignment horizontal="center"/>
    </xf>
    <xf numFmtId="165" fontId="8" fillId="0" borderId="74" xfId="0" applyNumberFormat="1" applyFont="1" applyBorder="1" applyAlignment="1">
      <alignment horizontal="center"/>
    </xf>
    <xf numFmtId="165" fontId="8" fillId="0" borderId="50" xfId="0" applyNumberFormat="1" applyFont="1" applyBorder="1" applyAlignment="1">
      <alignment horizontal="center"/>
    </xf>
    <xf numFmtId="2" fontId="8" fillId="0" borderId="50" xfId="0" applyNumberFormat="1" applyFont="1" applyBorder="1" applyAlignment="1">
      <alignment horizontal="center"/>
    </xf>
    <xf numFmtId="2" fontId="8" fillId="0" borderId="72" xfId="0" applyNumberFormat="1" applyFont="1" applyBorder="1" applyAlignment="1">
      <alignment horizontal="center"/>
    </xf>
    <xf numFmtId="2" fontId="8" fillId="0" borderId="63" xfId="0" applyNumberFormat="1" applyFont="1" applyBorder="1" applyAlignment="1">
      <alignment horizontal="center"/>
    </xf>
    <xf numFmtId="2" fontId="8" fillId="0" borderId="0" xfId="0" applyNumberFormat="1" applyFont="1" applyAlignment="1">
      <alignment horizontal="center"/>
    </xf>
    <xf numFmtId="0" fontId="8" fillId="0" borderId="70" xfId="0" applyFont="1" applyBorder="1" applyAlignment="1">
      <alignment horizontal="center"/>
    </xf>
    <xf numFmtId="0" fontId="8" fillId="0" borderId="40" xfId="0" applyFont="1" applyBorder="1" applyAlignment="1">
      <alignment horizontal="center"/>
    </xf>
    <xf numFmtId="0" fontId="8" fillId="0" borderId="49" xfId="0" applyFont="1" applyBorder="1" applyAlignment="1">
      <alignment horizontal="center"/>
    </xf>
    <xf numFmtId="0" fontId="8" fillId="0" borderId="6" xfId="0" applyFont="1" applyBorder="1" applyAlignment="1">
      <alignment horizontal="center"/>
    </xf>
    <xf numFmtId="0" fontId="8" fillId="0" borderId="70" xfId="0" quotePrefix="1" applyFont="1" applyBorder="1" applyAlignment="1">
      <alignment horizontal="center"/>
    </xf>
    <xf numFmtId="0" fontId="8" fillId="0" borderId="73" xfId="0" applyFont="1" applyBorder="1" applyAlignment="1">
      <alignment horizontal="center" wrapText="1"/>
    </xf>
    <xf numFmtId="0" fontId="8" fillId="0" borderId="68" xfId="0" applyFont="1" applyBorder="1" applyAlignment="1">
      <alignment horizontal="center" wrapText="1"/>
    </xf>
    <xf numFmtId="0" fontId="8" fillId="0" borderId="73" xfId="0" applyFont="1" applyBorder="1" applyAlignment="1">
      <alignment horizontal="center" vertical="center"/>
    </xf>
    <xf numFmtId="165" fontId="8" fillId="0" borderId="72" xfId="0" applyNumberFormat="1" applyFont="1" applyBorder="1" applyAlignment="1">
      <alignment horizontal="center"/>
    </xf>
    <xf numFmtId="0" fontId="8" fillId="0" borderId="68" xfId="0" applyFont="1" applyBorder="1" applyAlignment="1">
      <alignment horizontal="center"/>
    </xf>
    <xf numFmtId="165" fontId="8" fillId="0" borderId="63" xfId="0" applyNumberFormat="1" applyFont="1" applyBorder="1" applyAlignment="1">
      <alignment horizontal="center"/>
    </xf>
    <xf numFmtId="0" fontId="8" fillId="0" borderId="64" xfId="0" applyFont="1" applyBorder="1" applyAlignment="1">
      <alignment horizontal="center"/>
    </xf>
    <xf numFmtId="165" fontId="8" fillId="0" borderId="68" xfId="0" applyNumberFormat="1" applyFont="1" applyBorder="1" applyAlignment="1">
      <alignment horizontal="center"/>
    </xf>
    <xf numFmtId="0" fontId="8" fillId="0" borderId="63" xfId="0" applyFont="1" applyBorder="1" applyAlignment="1">
      <alignment horizontal="center"/>
    </xf>
    <xf numFmtId="0" fontId="8" fillId="0" borderId="71" xfId="0" applyFont="1" applyBorder="1" applyAlignment="1">
      <alignment horizontal="center" wrapText="1"/>
    </xf>
    <xf numFmtId="165" fontId="8" fillId="0" borderId="73" xfId="0" applyNumberFormat="1" applyFont="1" applyBorder="1" applyAlignment="1">
      <alignment horizontal="center" wrapText="1"/>
    </xf>
    <xf numFmtId="0" fontId="8" fillId="0" borderId="63" xfId="0" applyFont="1" applyBorder="1" applyAlignment="1">
      <alignment horizontal="center" wrapText="1"/>
    </xf>
    <xf numFmtId="165" fontId="8" fillId="0" borderId="72" xfId="0" applyNumberFormat="1" applyFont="1" applyBorder="1" applyAlignment="1">
      <alignment horizontal="center" wrapText="1"/>
    </xf>
    <xf numFmtId="165" fontId="8" fillId="0" borderId="63" xfId="0" applyNumberFormat="1" applyFont="1" applyBorder="1" applyAlignment="1">
      <alignment horizontal="center" wrapText="1"/>
    </xf>
    <xf numFmtId="167" fontId="8" fillId="0" borderId="73" xfId="0" applyNumberFormat="1" applyFont="1" applyBorder="1" applyAlignment="1">
      <alignment horizontal="center" wrapText="1"/>
    </xf>
    <xf numFmtId="0" fontId="8" fillId="0" borderId="72" xfId="0" applyFont="1" applyBorder="1" applyAlignment="1">
      <alignment horizontal="center" wrapText="1"/>
    </xf>
    <xf numFmtId="165" fontId="8" fillId="0" borderId="68" xfId="0" applyNumberFormat="1" applyFont="1" applyBorder="1" applyAlignment="1">
      <alignment horizontal="center" wrapText="1"/>
    </xf>
    <xf numFmtId="0" fontId="8" fillId="0" borderId="10" xfId="0" applyFont="1" applyBorder="1" applyAlignment="1">
      <alignment horizontal="left"/>
    </xf>
    <xf numFmtId="0" fontId="8" fillId="0" borderId="10" xfId="0" applyFont="1" applyBorder="1"/>
    <xf numFmtId="0" fontId="8" fillId="0" borderId="12" xfId="0" applyFont="1" applyBorder="1" applyAlignment="1">
      <alignment horizontal="center"/>
    </xf>
    <xf numFmtId="165" fontId="8" fillId="0" borderId="36" xfId="0" applyNumberFormat="1" applyFont="1" applyBorder="1" applyAlignment="1">
      <alignment horizontal="center"/>
    </xf>
    <xf numFmtId="2" fontId="8" fillId="0" borderId="22" xfId="0" applyNumberFormat="1" applyFont="1" applyBorder="1" applyAlignment="1">
      <alignment horizontal="center"/>
    </xf>
    <xf numFmtId="165" fontId="9" fillId="0" borderId="11" xfId="0" applyNumberFormat="1" applyFont="1" applyBorder="1" applyAlignment="1">
      <alignment horizontal="center"/>
    </xf>
    <xf numFmtId="165" fontId="8" fillId="0" borderId="14" xfId="0" applyNumberFormat="1" applyFont="1" applyBorder="1" applyAlignment="1">
      <alignment horizontal="center" wrapText="1"/>
    </xf>
    <xf numFmtId="0" fontId="9" fillId="0" borderId="65" xfId="0" applyFont="1" applyBorder="1" applyAlignment="1">
      <alignment horizontal="left"/>
    </xf>
    <xf numFmtId="0" fontId="8" fillId="0" borderId="12" xfId="0" applyFont="1" applyBorder="1"/>
    <xf numFmtId="0" fontId="8" fillId="0" borderId="30" xfId="0" applyFont="1" applyBorder="1"/>
    <xf numFmtId="0" fontId="12" fillId="0" borderId="4" xfId="0" applyFont="1" applyBorder="1"/>
    <xf numFmtId="0" fontId="12" fillId="0" borderId="4" xfId="0" applyFont="1" applyBorder="1" applyAlignment="1">
      <alignment horizontal="center"/>
    </xf>
    <xf numFmtId="0" fontId="12" fillId="0" borderId="4" xfId="0" applyFont="1" applyBorder="1" applyAlignment="1">
      <alignment horizontal="left" wrapText="1"/>
    </xf>
    <xf numFmtId="0" fontId="12" fillId="0" borderId="37" xfId="0" applyFont="1" applyBorder="1" applyAlignment="1">
      <alignment horizontal="center"/>
    </xf>
    <xf numFmtId="165" fontId="12" fillId="0" borderId="4" xfId="0" applyNumberFormat="1" applyFont="1" applyBorder="1" applyAlignment="1">
      <alignment horizontal="center"/>
    </xf>
    <xf numFmtId="165" fontId="12" fillId="0" borderId="16" xfId="0" applyNumberFormat="1" applyFont="1" applyBorder="1" applyAlignment="1">
      <alignment horizontal="center"/>
    </xf>
    <xf numFmtId="2" fontId="12" fillId="0" borderId="16" xfId="0" applyNumberFormat="1" applyFont="1" applyBorder="1" applyAlignment="1">
      <alignment horizontal="center"/>
    </xf>
    <xf numFmtId="2" fontId="12" fillId="0" borderId="1" xfId="0" applyNumberFormat="1" applyFont="1" applyBorder="1" applyAlignment="1">
      <alignment horizontal="center"/>
    </xf>
    <xf numFmtId="2" fontId="12" fillId="0" borderId="2" xfId="0" applyNumberFormat="1" applyFont="1" applyBorder="1" applyAlignment="1">
      <alignment horizontal="center"/>
    </xf>
    <xf numFmtId="2" fontId="12" fillId="0" borderId="5" xfId="0" applyNumberFormat="1" applyFont="1" applyBorder="1" applyAlignment="1">
      <alignment horizontal="center"/>
    </xf>
    <xf numFmtId="0" fontId="12" fillId="0" borderId="3" xfId="0" applyFont="1" applyBorder="1" applyAlignment="1">
      <alignment horizontal="center"/>
    </xf>
    <xf numFmtId="165" fontId="12" fillId="0" borderId="1" xfId="0" applyNumberFormat="1" applyFont="1" applyBorder="1" applyAlignment="1">
      <alignment horizontal="center"/>
    </xf>
    <xf numFmtId="165" fontId="12" fillId="0" borderId="2" xfId="0" applyNumberFormat="1" applyFont="1" applyBorder="1" applyAlignment="1">
      <alignment horizontal="center"/>
    </xf>
    <xf numFmtId="165" fontId="12" fillId="0" borderId="5" xfId="0" applyNumberFormat="1" applyFont="1" applyBorder="1" applyAlignment="1">
      <alignment horizontal="center"/>
    </xf>
    <xf numFmtId="0" fontId="12" fillId="0" borderId="1" xfId="0" applyFont="1" applyBorder="1" applyAlignment="1">
      <alignment horizontal="center"/>
    </xf>
    <xf numFmtId="165" fontId="12" fillId="0" borderId="3" xfId="0" applyNumberFormat="1" applyFont="1" applyBorder="1" applyAlignment="1">
      <alignment horizontal="center"/>
    </xf>
    <xf numFmtId="0" fontId="12" fillId="0" borderId="3" xfId="0" applyFont="1" applyBorder="1" applyAlignment="1">
      <alignment horizontal="center" wrapText="1"/>
    </xf>
    <xf numFmtId="0" fontId="12" fillId="0" borderId="67" xfId="0" applyFont="1" applyBorder="1" applyAlignment="1">
      <alignment horizontal="center" wrapText="1"/>
    </xf>
    <xf numFmtId="0" fontId="12" fillId="0" borderId="67" xfId="0" applyFont="1" applyBorder="1" applyAlignment="1">
      <alignment horizontal="center"/>
    </xf>
    <xf numFmtId="0" fontId="12" fillId="0" borderId="54" xfId="0" applyFont="1" applyBorder="1" applyAlignment="1">
      <alignment horizontal="center"/>
    </xf>
    <xf numFmtId="165" fontId="12" fillId="0" borderId="67" xfId="0" applyNumberFormat="1" applyFont="1" applyBorder="1" applyAlignment="1">
      <alignment horizontal="center"/>
    </xf>
    <xf numFmtId="0" fontId="12" fillId="0" borderId="2" xfId="0" applyFont="1" applyBorder="1" applyAlignment="1">
      <alignment horizontal="center"/>
    </xf>
    <xf numFmtId="0" fontId="12" fillId="0" borderId="4" xfId="0" applyFont="1" applyBorder="1" applyAlignment="1">
      <alignment horizontal="center" wrapText="1"/>
    </xf>
    <xf numFmtId="165" fontId="12" fillId="0" borderId="3" xfId="0" applyNumberFormat="1" applyFont="1" applyBorder="1" applyAlignment="1">
      <alignment horizontal="center" wrapText="1"/>
    </xf>
    <xf numFmtId="0" fontId="12" fillId="0" borderId="2" xfId="0" applyFont="1" applyBorder="1" applyAlignment="1">
      <alignment horizontal="center" wrapText="1"/>
    </xf>
    <xf numFmtId="165" fontId="12" fillId="0" borderId="1" xfId="0" applyNumberFormat="1" applyFont="1" applyBorder="1" applyAlignment="1">
      <alignment horizontal="center" wrapText="1"/>
    </xf>
    <xf numFmtId="165" fontId="12" fillId="0" borderId="2" xfId="0" applyNumberFormat="1" applyFont="1" applyBorder="1" applyAlignment="1">
      <alignment horizontal="center" wrapText="1"/>
    </xf>
    <xf numFmtId="167" fontId="12" fillId="0" borderId="3" xfId="0" applyNumberFormat="1" applyFont="1" applyBorder="1" applyAlignment="1">
      <alignment horizontal="center" wrapText="1"/>
    </xf>
    <xf numFmtId="0" fontId="12" fillId="0" borderId="1" xfId="0" applyFont="1" applyBorder="1" applyAlignment="1">
      <alignment horizontal="center" wrapText="1"/>
    </xf>
    <xf numFmtId="165" fontId="12" fillId="0" borderId="67" xfId="0" applyNumberFormat="1" applyFont="1" applyBorder="1" applyAlignment="1">
      <alignment horizontal="center" wrapText="1"/>
    </xf>
    <xf numFmtId="0" fontId="8" fillId="0" borderId="4" xfId="0" applyFont="1" applyBorder="1" applyAlignment="1">
      <alignment horizontal="left" wrapText="1"/>
    </xf>
    <xf numFmtId="14" fontId="8" fillId="0" borderId="3" xfId="0" quotePrefix="1" applyNumberFormat="1" applyFont="1" applyBorder="1" applyAlignment="1">
      <alignment horizontal="center"/>
    </xf>
    <xf numFmtId="165" fontId="8" fillId="0" borderId="9" xfId="0" applyNumberFormat="1" applyFont="1" applyBorder="1" applyAlignment="1">
      <alignment horizontal="center"/>
    </xf>
    <xf numFmtId="0" fontId="8" fillId="0" borderId="17" xfId="0" applyFont="1" applyBorder="1" applyAlignment="1">
      <alignment horizontal="center"/>
    </xf>
    <xf numFmtId="0" fontId="12" fillId="0" borderId="1" xfId="0" applyFont="1" applyBorder="1" applyAlignment="1">
      <alignment horizontal="left"/>
    </xf>
    <xf numFmtId="2" fontId="8" fillId="0" borderId="4" xfId="0" applyNumberFormat="1" applyFont="1" applyBorder="1" applyAlignment="1">
      <alignment horizontal="left" wrapText="1"/>
    </xf>
    <xf numFmtId="0" fontId="10" fillId="0" borderId="1" xfId="0" applyFont="1" applyBorder="1"/>
    <xf numFmtId="0" fontId="8" fillId="0" borderId="8" xfId="0" applyFont="1" applyBorder="1"/>
    <xf numFmtId="0" fontId="8" fillId="0" borderId="0" xfId="0" applyFont="1" applyAlignment="1">
      <alignment horizontal="left"/>
    </xf>
    <xf numFmtId="0" fontId="8" fillId="0" borderId="38" xfId="0" applyFont="1" applyBorder="1" applyAlignment="1">
      <alignment horizontal="center"/>
    </xf>
    <xf numFmtId="165" fontId="8" fillId="0" borderId="24" xfId="0" applyNumberFormat="1" applyFont="1" applyBorder="1" applyAlignment="1">
      <alignment horizontal="center"/>
    </xf>
    <xf numFmtId="2" fontId="8" fillId="0" borderId="24" xfId="0" applyNumberFormat="1" applyFont="1" applyBorder="1" applyAlignment="1">
      <alignment horizontal="center"/>
    </xf>
    <xf numFmtId="2" fontId="8" fillId="0" borderId="10" xfId="0" applyNumberFormat="1" applyFont="1" applyBorder="1" applyAlignment="1">
      <alignment horizontal="center"/>
    </xf>
    <xf numFmtId="2" fontId="8" fillId="0" borderId="9" xfId="0" applyNumberFormat="1" applyFont="1" applyBorder="1" applyAlignment="1">
      <alignment horizontal="center"/>
    </xf>
    <xf numFmtId="2" fontId="8" fillId="0" borderId="13" xfId="0" applyNumberFormat="1" applyFont="1" applyBorder="1" applyAlignment="1">
      <alignment horizontal="center"/>
    </xf>
    <xf numFmtId="0" fontId="8" fillId="0" borderId="23" xfId="0" applyFont="1" applyBorder="1" applyAlignment="1">
      <alignment horizontal="center"/>
    </xf>
    <xf numFmtId="165" fontId="8" fillId="0" borderId="10" xfId="0" applyNumberFormat="1" applyFont="1" applyBorder="1" applyAlignment="1">
      <alignment horizontal="center"/>
    </xf>
    <xf numFmtId="165" fontId="8" fillId="0" borderId="13" xfId="0" applyNumberFormat="1" applyFont="1" applyBorder="1" applyAlignment="1">
      <alignment horizontal="center"/>
    </xf>
    <xf numFmtId="0" fontId="8" fillId="0" borderId="10" xfId="0" applyFont="1" applyBorder="1" applyAlignment="1">
      <alignment horizontal="center"/>
    </xf>
    <xf numFmtId="165" fontId="8" fillId="0" borderId="23" xfId="0" applyNumberFormat="1" applyFont="1" applyBorder="1" applyAlignment="1">
      <alignment horizontal="center"/>
    </xf>
    <xf numFmtId="0" fontId="8" fillId="0" borderId="23" xfId="0" applyFont="1" applyBorder="1" applyAlignment="1">
      <alignment horizontal="center" wrapText="1"/>
    </xf>
    <xf numFmtId="0" fontId="8" fillId="0" borderId="15" xfId="0" applyFont="1" applyBorder="1" applyAlignment="1">
      <alignment horizontal="center" wrapText="1"/>
    </xf>
    <xf numFmtId="0" fontId="8" fillId="0" borderId="15" xfId="0" applyFont="1" applyBorder="1" applyAlignment="1">
      <alignment horizontal="center"/>
    </xf>
    <xf numFmtId="165" fontId="8" fillId="0" borderId="15" xfId="0" applyNumberFormat="1" applyFont="1" applyBorder="1" applyAlignment="1">
      <alignment horizontal="center"/>
    </xf>
    <xf numFmtId="0" fontId="8" fillId="0" borderId="9" xfId="0" applyFont="1" applyBorder="1" applyAlignment="1">
      <alignment horizontal="center"/>
    </xf>
    <xf numFmtId="0" fontId="8" fillId="0" borderId="8" xfId="0" applyFont="1" applyBorder="1" applyAlignment="1">
      <alignment horizontal="center" wrapText="1"/>
    </xf>
    <xf numFmtId="165" fontId="8" fillId="0" borderId="23" xfId="0" applyNumberFormat="1" applyFont="1" applyBorder="1" applyAlignment="1">
      <alignment horizontal="center" wrapText="1"/>
    </xf>
    <xf numFmtId="0" fontId="8" fillId="0" borderId="9" xfId="0" applyFont="1" applyBorder="1" applyAlignment="1">
      <alignment horizontal="center" wrapText="1"/>
    </xf>
    <xf numFmtId="165" fontId="8" fillId="0" borderId="10" xfId="0" applyNumberFormat="1" applyFont="1" applyBorder="1" applyAlignment="1">
      <alignment horizontal="center" wrapText="1"/>
    </xf>
    <xf numFmtId="165" fontId="8" fillId="0" borderId="9" xfId="0" applyNumberFormat="1" applyFont="1" applyBorder="1" applyAlignment="1">
      <alignment horizontal="center" wrapText="1"/>
    </xf>
    <xf numFmtId="167" fontId="8" fillId="0" borderId="23" xfId="0" applyNumberFormat="1" applyFont="1" applyBorder="1" applyAlignment="1">
      <alignment horizontal="center" wrapText="1"/>
    </xf>
    <xf numFmtId="0" fontId="8" fillId="0" borderId="10" xfId="0" applyFont="1" applyBorder="1" applyAlignment="1">
      <alignment horizontal="center" wrapText="1"/>
    </xf>
    <xf numFmtId="165" fontId="8" fillId="0" borderId="15" xfId="0" applyNumberFormat="1" applyFont="1" applyBorder="1" applyAlignment="1">
      <alignment horizontal="center" wrapText="1"/>
    </xf>
    <xf numFmtId="0" fontId="8" fillId="0" borderId="71" xfId="0" applyFont="1" applyBorder="1" applyAlignment="1">
      <alignment horizontal="center"/>
    </xf>
    <xf numFmtId="165" fontId="8" fillId="0" borderId="0" xfId="0" applyNumberFormat="1" applyFont="1" applyAlignment="1">
      <alignment horizontal="center"/>
    </xf>
    <xf numFmtId="0" fontId="8" fillId="0" borderId="73" xfId="0" applyFont="1" applyBorder="1" applyAlignment="1">
      <alignment horizontal="center"/>
    </xf>
    <xf numFmtId="0" fontId="8" fillId="0" borderId="72" xfId="0" applyFont="1" applyBorder="1" applyAlignment="1">
      <alignment horizontal="center"/>
    </xf>
    <xf numFmtId="165" fontId="8" fillId="0" borderId="73" xfId="0" applyNumberFormat="1" applyFont="1" applyBorder="1" applyAlignment="1">
      <alignment horizontal="center"/>
    </xf>
    <xf numFmtId="0" fontId="8" fillId="0" borderId="14" xfId="0" applyFont="1" applyBorder="1" applyAlignment="1">
      <alignment horizontal="center" vertical="center"/>
    </xf>
    <xf numFmtId="0" fontId="8" fillId="0" borderId="65" xfId="0" applyFont="1" applyBorder="1" applyAlignment="1">
      <alignment horizontal="center"/>
    </xf>
    <xf numFmtId="0" fontId="8" fillId="0" borderId="41" xfId="0" applyFont="1" applyBorder="1" applyAlignment="1">
      <alignment horizontal="left" wrapText="1"/>
    </xf>
    <xf numFmtId="0" fontId="8" fillId="0" borderId="5" xfId="0" applyFont="1" applyBorder="1" applyAlignment="1">
      <alignment horizontal="left" wrapText="1"/>
    </xf>
    <xf numFmtId="0" fontId="8" fillId="0" borderId="45" xfId="0" applyFont="1" applyBorder="1" applyAlignment="1">
      <alignment horizontal="center"/>
    </xf>
    <xf numFmtId="0" fontId="8" fillId="0" borderId="13" xfId="0" applyFont="1" applyBorder="1" applyAlignment="1">
      <alignment horizontal="left" wrapText="1"/>
    </xf>
    <xf numFmtId="165" fontId="8" fillId="0" borderId="45" xfId="0" applyNumberFormat="1" applyFont="1" applyBorder="1" applyAlignment="1">
      <alignment horizontal="center"/>
    </xf>
    <xf numFmtId="0" fontId="8" fillId="0" borderId="23" xfId="0" applyFont="1" applyBorder="1" applyAlignment="1">
      <alignment horizontal="center" vertical="center"/>
    </xf>
    <xf numFmtId="0" fontId="12" fillId="0" borderId="1" xfId="0" applyFont="1" applyBorder="1"/>
    <xf numFmtId="165" fontId="8" fillId="0" borderId="1" xfId="0" applyNumberFormat="1" applyFont="1" applyBorder="1" applyAlignment="1">
      <alignment horizontal="center" vertical="center"/>
    </xf>
    <xf numFmtId="167" fontId="8" fillId="0" borderId="1" xfId="0" applyNumberFormat="1" applyFont="1" applyBorder="1" applyAlignment="1">
      <alignment horizontal="center" wrapText="1"/>
    </xf>
    <xf numFmtId="0" fontId="8" fillId="0" borderId="67" xfId="0" quotePrefix="1" applyFont="1" applyBorder="1" applyAlignment="1">
      <alignment horizontal="center"/>
    </xf>
    <xf numFmtId="165" fontId="8" fillId="0" borderId="1" xfId="0" applyNumberFormat="1" applyFont="1" applyBorder="1" applyAlignment="1">
      <alignment horizontal="center" shrinkToFit="1"/>
    </xf>
    <xf numFmtId="165" fontId="8" fillId="0" borderId="44" xfId="0" applyNumberFormat="1" applyFont="1" applyBorder="1" applyAlignment="1">
      <alignment horizontal="center"/>
    </xf>
    <xf numFmtId="165" fontId="8" fillId="0" borderId="37" xfId="0" applyNumberFormat="1" applyFont="1" applyBorder="1" applyAlignment="1">
      <alignment horizontal="center"/>
    </xf>
    <xf numFmtId="0" fontId="8" fillId="0" borderId="5" xfId="0" applyFont="1" applyBorder="1"/>
    <xf numFmtId="0" fontId="8" fillId="0" borderId="0" xfId="0" applyFont="1" applyAlignment="1">
      <alignment horizontal="left" wrapText="1"/>
    </xf>
    <xf numFmtId="0" fontId="8" fillId="0" borderId="30" xfId="0" applyFont="1" applyBorder="1" applyAlignment="1">
      <alignment horizontal="left"/>
    </xf>
    <xf numFmtId="0" fontId="12" fillId="0" borderId="0" xfId="0" applyFont="1"/>
    <xf numFmtId="0" fontId="8" fillId="0" borderId="0" xfId="0" applyFont="1" applyAlignment="1">
      <alignment vertical="center"/>
    </xf>
    <xf numFmtId="0" fontId="8" fillId="0" borderId="13" xfId="0" applyFont="1" applyBorder="1" applyAlignment="1">
      <alignment horizontal="center"/>
    </xf>
    <xf numFmtId="165" fontId="8" fillId="0" borderId="38" xfId="0" applyNumberFormat="1" applyFont="1" applyBorder="1" applyAlignment="1">
      <alignment horizontal="center"/>
    </xf>
    <xf numFmtId="0" fontId="12" fillId="0" borderId="12" xfId="0" applyFont="1" applyBorder="1"/>
    <xf numFmtId="0" fontId="8" fillId="0" borderId="12" xfId="0" applyFont="1" applyBorder="1" applyAlignment="1">
      <alignment vertical="center"/>
    </xf>
    <xf numFmtId="0" fontId="12" fillId="0" borderId="5" xfId="0" applyFont="1" applyBorder="1"/>
    <xf numFmtId="0" fontId="8" fillId="0" borderId="5" xfId="0" applyFont="1" applyBorder="1" applyAlignment="1">
      <alignment vertical="center"/>
    </xf>
    <xf numFmtId="0" fontId="8" fillId="0" borderId="45" xfId="0" applyFont="1" applyBorder="1"/>
    <xf numFmtId="0" fontId="8" fillId="0" borderId="46" xfId="0" applyFont="1" applyBorder="1" applyAlignment="1">
      <alignment horizontal="center"/>
    </xf>
    <xf numFmtId="0" fontId="8" fillId="0" borderId="46" xfId="0" applyFont="1" applyBorder="1" applyAlignment="1">
      <alignment horizontal="left" wrapText="1"/>
    </xf>
    <xf numFmtId="0" fontId="8" fillId="0" borderId="48" xfId="0" applyFont="1" applyBorder="1" applyAlignment="1">
      <alignment horizontal="center"/>
    </xf>
    <xf numFmtId="165" fontId="8" fillId="0" borderId="48" xfId="0" applyNumberFormat="1" applyFont="1" applyBorder="1" applyAlignment="1">
      <alignment horizontal="center"/>
    </xf>
    <xf numFmtId="165" fontId="8" fillId="0" borderId="46" xfId="0" applyNumberFormat="1" applyFont="1" applyBorder="1" applyAlignment="1">
      <alignment horizontal="center"/>
    </xf>
    <xf numFmtId="2" fontId="8" fillId="0" borderId="47" xfId="0" applyNumberFormat="1" applyFont="1" applyBorder="1" applyAlignment="1">
      <alignment horizontal="center"/>
    </xf>
    <xf numFmtId="2" fontId="8" fillId="0" borderId="27" xfId="0" applyNumberFormat="1" applyFont="1" applyBorder="1" applyAlignment="1">
      <alignment horizontal="center"/>
    </xf>
    <xf numFmtId="0" fontId="8" fillId="0" borderId="26" xfId="0" applyFont="1" applyBorder="1" applyAlignment="1">
      <alignment horizontal="center"/>
    </xf>
    <xf numFmtId="165" fontId="8" fillId="0" borderId="27" xfId="0" applyNumberFormat="1" applyFont="1" applyBorder="1" applyAlignment="1">
      <alignment horizontal="center"/>
    </xf>
    <xf numFmtId="165" fontId="8" fillId="0" borderId="28" xfId="0" applyNumberFormat="1" applyFont="1" applyBorder="1" applyAlignment="1">
      <alignment horizontal="center"/>
    </xf>
    <xf numFmtId="0" fontId="8" fillId="0" borderId="27" xfId="0" applyFont="1" applyBorder="1" applyAlignment="1">
      <alignment horizontal="center"/>
    </xf>
    <xf numFmtId="165" fontId="8" fillId="0" borderId="26" xfId="0" applyNumberFormat="1" applyFont="1" applyBorder="1" applyAlignment="1">
      <alignment horizontal="center"/>
    </xf>
    <xf numFmtId="0" fontId="8" fillId="0" borderId="26" xfId="0" applyFont="1" applyBorder="1" applyAlignment="1">
      <alignment horizontal="center" wrapText="1"/>
    </xf>
    <xf numFmtId="0" fontId="8" fillId="0" borderId="69" xfId="0" applyFont="1" applyBorder="1" applyAlignment="1">
      <alignment horizontal="center" wrapText="1"/>
    </xf>
    <xf numFmtId="0" fontId="8" fillId="0" borderId="69" xfId="0" applyFont="1" applyBorder="1" applyAlignment="1">
      <alignment horizontal="center"/>
    </xf>
    <xf numFmtId="0" fontId="8" fillId="0" borderId="55" xfId="0" applyFont="1" applyBorder="1" applyAlignment="1">
      <alignment horizontal="center"/>
    </xf>
    <xf numFmtId="0" fontId="8" fillId="0" borderId="28" xfId="0" applyFont="1" applyBorder="1" applyAlignment="1">
      <alignment horizontal="center"/>
    </xf>
    <xf numFmtId="0" fontId="8" fillId="0" borderId="45" xfId="0" applyFont="1" applyBorder="1" applyAlignment="1">
      <alignment horizontal="center" wrapText="1"/>
    </xf>
    <xf numFmtId="165" fontId="8" fillId="0" borderId="26" xfId="0" applyNumberFormat="1" applyFont="1" applyBorder="1" applyAlignment="1">
      <alignment horizontal="center" wrapText="1"/>
    </xf>
    <xf numFmtId="0" fontId="8" fillId="0" borderId="28" xfId="0" applyFont="1" applyBorder="1" applyAlignment="1">
      <alignment horizontal="center" wrapText="1"/>
    </xf>
    <xf numFmtId="165" fontId="8" fillId="0" borderId="27" xfId="0" applyNumberFormat="1" applyFont="1" applyBorder="1" applyAlignment="1">
      <alignment horizontal="center" wrapText="1"/>
    </xf>
    <xf numFmtId="165" fontId="8" fillId="0" borderId="28" xfId="0" applyNumberFormat="1" applyFont="1" applyBorder="1" applyAlignment="1">
      <alignment horizontal="center" wrapText="1"/>
    </xf>
    <xf numFmtId="167" fontId="8" fillId="0" borderId="26" xfId="0" applyNumberFormat="1" applyFont="1" applyBorder="1" applyAlignment="1">
      <alignment horizontal="center" wrapText="1"/>
    </xf>
    <xf numFmtId="0" fontId="8" fillId="0" borderId="27" xfId="0" applyFont="1" applyBorder="1" applyAlignment="1">
      <alignment horizontal="center" wrapText="1"/>
    </xf>
    <xf numFmtId="2" fontId="8" fillId="0" borderId="66" xfId="0" applyNumberFormat="1" applyFont="1" applyBorder="1" applyAlignment="1">
      <alignment horizontal="center"/>
    </xf>
    <xf numFmtId="2" fontId="8" fillId="0" borderId="42" xfId="0" applyNumberFormat="1" applyFont="1" applyBorder="1" applyAlignment="1">
      <alignment horizontal="center"/>
    </xf>
    <xf numFmtId="165" fontId="8" fillId="0" borderId="66" xfId="0" applyNumberFormat="1" applyFont="1" applyBorder="1" applyAlignment="1">
      <alignment horizontal="center" shrinkToFit="1"/>
    </xf>
    <xf numFmtId="2" fontId="8" fillId="0" borderId="69" xfId="0" applyNumberFormat="1" applyFont="1" applyBorder="1" applyAlignment="1">
      <alignment horizontal="center"/>
    </xf>
    <xf numFmtId="2" fontId="8" fillId="0" borderId="45" xfId="0" applyNumberFormat="1" applyFont="1" applyBorder="1" applyAlignment="1">
      <alignment horizontal="center"/>
    </xf>
    <xf numFmtId="165" fontId="8" fillId="0" borderId="69" xfId="0" applyNumberFormat="1" applyFont="1" applyBorder="1" applyAlignment="1">
      <alignment horizontal="center" shrinkToFit="1"/>
    </xf>
    <xf numFmtId="0" fontId="8" fillId="0" borderId="6" xfId="0" applyFont="1" applyBorder="1" applyAlignment="1">
      <alignment horizontal="left"/>
    </xf>
    <xf numFmtId="0" fontId="8" fillId="0" borderId="6" xfId="0" applyFont="1" applyBorder="1"/>
    <xf numFmtId="0" fontId="8" fillId="0" borderId="64" xfId="0" applyFont="1" applyBorder="1" applyAlignment="1">
      <alignment horizontal="center" wrapText="1"/>
    </xf>
    <xf numFmtId="165" fontId="8" fillId="0" borderId="0" xfId="0" applyNumberFormat="1" applyFont="1" applyAlignment="1">
      <alignment horizontal="center" shrinkToFit="1"/>
    </xf>
    <xf numFmtId="0" fontId="8" fillId="0" borderId="0" xfId="0" applyFont="1" applyAlignment="1">
      <alignment horizontal="center" wrapText="1"/>
    </xf>
    <xf numFmtId="165" fontId="8" fillId="0" borderId="0" xfId="0" applyNumberFormat="1" applyFont="1" applyAlignment="1">
      <alignment horizontal="center" wrapText="1"/>
    </xf>
    <xf numFmtId="167" fontId="8" fillId="0" borderId="0" xfId="0" applyNumberFormat="1" applyFont="1" applyAlignment="1">
      <alignment horizontal="center" wrapText="1"/>
    </xf>
    <xf numFmtId="0" fontId="13" fillId="0" borderId="0" xfId="0" applyFont="1" applyAlignment="1">
      <alignment horizontal="center"/>
    </xf>
    <xf numFmtId="0" fontId="13" fillId="0" borderId="0" xfId="0" applyFont="1"/>
    <xf numFmtId="2" fontId="9" fillId="0" borderId="0" xfId="0" applyNumberFormat="1" applyFont="1" applyAlignment="1">
      <alignment horizontal="center"/>
    </xf>
    <xf numFmtId="2" fontId="9" fillId="0" borderId="64" xfId="0" applyNumberFormat="1" applyFont="1" applyBorder="1" applyAlignment="1">
      <alignment horizontal="center"/>
    </xf>
    <xf numFmtId="2" fontId="9" fillId="0" borderId="68" xfId="0" applyNumberFormat="1" applyFont="1" applyBorder="1" applyAlignment="1">
      <alignment horizontal="center"/>
    </xf>
    <xf numFmtId="2" fontId="9" fillId="0" borderId="63" xfId="0" applyNumberFormat="1" applyFont="1" applyBorder="1" applyAlignment="1">
      <alignment horizontal="center"/>
    </xf>
    <xf numFmtId="167" fontId="9" fillId="0" borderId="0" xfId="0" applyNumberFormat="1" applyFont="1" applyAlignment="1">
      <alignment horizontal="center"/>
    </xf>
    <xf numFmtId="0" fontId="8" fillId="2" borderId="4" xfId="0" applyFont="1" applyFill="1" applyBorder="1"/>
    <xf numFmtId="0" fontId="8" fillId="2" borderId="4" xfId="0" applyFont="1" applyFill="1" applyBorder="1" applyAlignment="1">
      <alignment horizontal="center"/>
    </xf>
    <xf numFmtId="0" fontId="8" fillId="2" borderId="4" xfId="0" applyFont="1" applyFill="1" applyBorder="1" applyAlignment="1">
      <alignment horizontal="left" wrapText="1"/>
    </xf>
    <xf numFmtId="0" fontId="8" fillId="2" borderId="37" xfId="0" applyFont="1" applyFill="1" applyBorder="1" applyAlignment="1">
      <alignment horizontal="center"/>
    </xf>
    <xf numFmtId="165" fontId="8" fillId="2" borderId="4" xfId="0" applyNumberFormat="1" applyFont="1" applyFill="1" applyBorder="1" applyAlignment="1">
      <alignment horizontal="center"/>
    </xf>
    <xf numFmtId="165" fontId="8" fillId="2" borderId="16" xfId="0" applyNumberFormat="1" applyFont="1" applyFill="1" applyBorder="1" applyAlignment="1">
      <alignment horizontal="center"/>
    </xf>
    <xf numFmtId="2" fontId="8" fillId="2" borderId="16" xfId="0" applyNumberFormat="1" applyFont="1" applyFill="1" applyBorder="1" applyAlignment="1">
      <alignment horizontal="center"/>
    </xf>
    <xf numFmtId="2" fontId="8" fillId="2" borderId="1"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5" xfId="0" applyNumberFormat="1" applyFont="1" applyFill="1" applyBorder="1" applyAlignment="1">
      <alignment horizontal="center"/>
    </xf>
    <xf numFmtId="0" fontId="8" fillId="2" borderId="3" xfId="0" applyFont="1" applyFill="1" applyBorder="1" applyAlignment="1">
      <alignment horizontal="center"/>
    </xf>
    <xf numFmtId="165" fontId="8" fillId="2" borderId="1" xfId="0" applyNumberFormat="1" applyFont="1" applyFill="1" applyBorder="1" applyAlignment="1">
      <alignment horizontal="center"/>
    </xf>
    <xf numFmtId="165" fontId="8" fillId="2" borderId="2" xfId="0" applyNumberFormat="1" applyFont="1" applyFill="1" applyBorder="1" applyAlignment="1">
      <alignment horizontal="center"/>
    </xf>
    <xf numFmtId="165" fontId="8" fillId="2" borderId="5" xfId="0" applyNumberFormat="1" applyFont="1" applyFill="1" applyBorder="1" applyAlignment="1">
      <alignment horizontal="center"/>
    </xf>
    <xf numFmtId="0" fontId="8" fillId="2" borderId="1" xfId="0" applyFont="1" applyFill="1" applyBorder="1" applyAlignment="1">
      <alignment horizontal="center"/>
    </xf>
    <xf numFmtId="165" fontId="8" fillId="2" borderId="3" xfId="0" applyNumberFormat="1" applyFont="1" applyFill="1" applyBorder="1" applyAlignment="1">
      <alignment horizontal="center"/>
    </xf>
    <xf numFmtId="0" fontId="8" fillId="2" borderId="3" xfId="0" applyFont="1" applyFill="1" applyBorder="1" applyAlignment="1">
      <alignment horizontal="center" wrapText="1"/>
    </xf>
    <xf numFmtId="0" fontId="8" fillId="2" borderId="67" xfId="0" applyFont="1" applyFill="1" applyBorder="1" applyAlignment="1">
      <alignment horizontal="center" wrapText="1"/>
    </xf>
    <xf numFmtId="0" fontId="8" fillId="2" borderId="67" xfId="0" applyFont="1" applyFill="1" applyBorder="1" applyAlignment="1">
      <alignment horizontal="center"/>
    </xf>
    <xf numFmtId="0" fontId="8" fillId="2" borderId="54" xfId="0" applyFont="1" applyFill="1" applyBorder="1" applyAlignment="1">
      <alignment horizontal="center"/>
    </xf>
    <xf numFmtId="165" fontId="8" fillId="2" borderId="67" xfId="0" applyNumberFormat="1"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wrapText="1"/>
    </xf>
    <xf numFmtId="165" fontId="8" fillId="2" borderId="3" xfId="0" applyNumberFormat="1" applyFont="1" applyFill="1" applyBorder="1" applyAlignment="1">
      <alignment horizontal="center" wrapText="1"/>
    </xf>
    <xf numFmtId="0" fontId="8" fillId="2" borderId="2" xfId="0" applyFont="1" applyFill="1" applyBorder="1" applyAlignment="1">
      <alignment horizontal="center" wrapText="1"/>
    </xf>
    <xf numFmtId="165" fontId="8" fillId="2" borderId="1" xfId="0" applyNumberFormat="1" applyFont="1" applyFill="1" applyBorder="1" applyAlignment="1">
      <alignment horizontal="center" wrapText="1"/>
    </xf>
    <xf numFmtId="165" fontId="8" fillId="2" borderId="2" xfId="0" applyNumberFormat="1" applyFont="1" applyFill="1" applyBorder="1" applyAlignment="1">
      <alignment horizontal="center" wrapText="1"/>
    </xf>
    <xf numFmtId="167" fontId="8" fillId="2" borderId="3" xfId="0" applyNumberFormat="1" applyFont="1" applyFill="1" applyBorder="1" applyAlignment="1">
      <alignment horizontal="center" wrapText="1"/>
    </xf>
    <xf numFmtId="0" fontId="8" fillId="2" borderId="1" xfId="0" applyFont="1" applyFill="1" applyBorder="1" applyAlignment="1">
      <alignment horizontal="center" wrapText="1"/>
    </xf>
    <xf numFmtId="165" fontId="8" fillId="2" borderId="67" xfId="0" applyNumberFormat="1" applyFont="1" applyFill="1" applyBorder="1" applyAlignment="1">
      <alignment horizontal="center" wrapText="1"/>
    </xf>
    <xf numFmtId="0" fontId="8" fillId="2" borderId="1" xfId="0" applyFont="1" applyFill="1" applyBorder="1" applyAlignment="1">
      <alignment horizontal="left"/>
    </xf>
    <xf numFmtId="0" fontId="8" fillId="2" borderId="1" xfId="0" applyFont="1" applyFill="1" applyBorder="1"/>
    <xf numFmtId="0" fontId="8" fillId="2" borderId="0" xfId="0" applyFont="1" applyFill="1"/>
    <xf numFmtId="0" fontId="8" fillId="2" borderId="5" xfId="0" applyFont="1" applyFill="1" applyBorder="1" applyAlignment="1">
      <alignment horizontal="left" wrapText="1"/>
    </xf>
    <xf numFmtId="0" fontId="8" fillId="2" borderId="3" xfId="0" applyFont="1" applyFill="1" applyBorder="1" applyAlignment="1">
      <alignment horizontal="center" vertical="center"/>
    </xf>
    <xf numFmtId="167" fontId="8" fillId="2" borderId="1" xfId="0" applyNumberFormat="1" applyFont="1" applyFill="1" applyBorder="1" applyAlignment="1">
      <alignment horizontal="center" wrapText="1"/>
    </xf>
    <xf numFmtId="165" fontId="8" fillId="2" borderId="54" xfId="0" applyNumberFormat="1" applyFont="1" applyFill="1" applyBorder="1" applyAlignment="1">
      <alignment horizontal="center" wrapText="1"/>
    </xf>
    <xf numFmtId="165" fontId="8" fillId="2" borderId="16" xfId="0" applyNumberFormat="1" applyFont="1" applyFill="1" applyBorder="1" applyAlignment="1">
      <alignment horizontal="center" wrapText="1"/>
    </xf>
    <xf numFmtId="0" fontId="8" fillId="2" borderId="45" xfId="0" applyFont="1" applyFill="1" applyBorder="1" applyAlignment="1">
      <alignment horizontal="center"/>
    </xf>
    <xf numFmtId="165" fontId="8" fillId="2" borderId="45" xfId="0" applyNumberFormat="1" applyFont="1" applyFill="1" applyBorder="1" applyAlignment="1">
      <alignment horizontal="center"/>
    </xf>
    <xf numFmtId="165" fontId="8" fillId="2" borderId="24" xfId="0" applyNumberFormat="1" applyFont="1" applyFill="1" applyBorder="1" applyAlignment="1">
      <alignment horizontal="center"/>
    </xf>
    <xf numFmtId="0" fontId="12" fillId="2" borderId="1" xfId="0" applyFont="1" applyFill="1" applyBorder="1"/>
    <xf numFmtId="0" fontId="8" fillId="2" borderId="1" xfId="0" applyFont="1" applyFill="1" applyBorder="1" applyAlignment="1">
      <alignment vertical="center"/>
    </xf>
    <xf numFmtId="0" fontId="8" fillId="4" borderId="42" xfId="0" applyFont="1" applyFill="1" applyBorder="1"/>
    <xf numFmtId="0" fontId="8" fillId="4" borderId="42" xfId="0" applyFont="1" applyFill="1" applyBorder="1" applyAlignment="1">
      <alignment horizontal="center"/>
    </xf>
    <xf numFmtId="164" fontId="8" fillId="4" borderId="59" xfId="0" applyNumberFormat="1" applyFont="1" applyFill="1" applyBorder="1" applyAlignment="1">
      <alignment horizontal="left" wrapText="1"/>
    </xf>
    <xf numFmtId="0" fontId="8" fillId="4" borderId="44" xfId="0" applyFont="1" applyFill="1" applyBorder="1" applyAlignment="1">
      <alignment horizontal="center"/>
    </xf>
    <xf numFmtId="165" fontId="8" fillId="4" borderId="57" xfId="0" applyNumberFormat="1" applyFont="1" applyFill="1" applyBorder="1" applyAlignment="1">
      <alignment horizontal="center"/>
    </xf>
    <xf numFmtId="165" fontId="8" fillId="4" borderId="43" xfId="0" applyNumberFormat="1" applyFont="1" applyFill="1" applyBorder="1" applyAlignment="1">
      <alignment horizontal="center"/>
    </xf>
    <xf numFmtId="2" fontId="8" fillId="4" borderId="43" xfId="0" applyNumberFormat="1" applyFont="1" applyFill="1" applyBorder="1" applyAlignment="1">
      <alignment horizontal="center"/>
    </xf>
    <xf numFmtId="2" fontId="8" fillId="4" borderId="30" xfId="0" applyNumberFormat="1" applyFont="1" applyFill="1" applyBorder="1" applyAlignment="1">
      <alignment horizontal="center"/>
    </xf>
    <xf numFmtId="2" fontId="8" fillId="4" borderId="31" xfId="0" applyNumberFormat="1" applyFont="1" applyFill="1" applyBorder="1" applyAlignment="1">
      <alignment horizontal="center"/>
    </xf>
    <xf numFmtId="2" fontId="8" fillId="4" borderId="41" xfId="0" applyNumberFormat="1" applyFont="1" applyFill="1" applyBorder="1" applyAlignment="1">
      <alignment horizontal="center"/>
    </xf>
    <xf numFmtId="0" fontId="8" fillId="4" borderId="29" xfId="0" applyFont="1" applyFill="1" applyBorder="1" applyAlignment="1">
      <alignment horizontal="center"/>
    </xf>
    <xf numFmtId="165" fontId="8" fillId="4" borderId="30" xfId="0" applyNumberFormat="1" applyFont="1" applyFill="1" applyBorder="1" applyAlignment="1">
      <alignment horizontal="center"/>
    </xf>
    <xf numFmtId="165" fontId="8" fillId="4" borderId="31" xfId="0" applyNumberFormat="1" applyFont="1" applyFill="1" applyBorder="1" applyAlignment="1">
      <alignment horizontal="center"/>
    </xf>
    <xf numFmtId="165" fontId="8" fillId="4" borderId="41" xfId="0" applyNumberFormat="1" applyFont="1" applyFill="1" applyBorder="1" applyAlignment="1">
      <alignment horizontal="center"/>
    </xf>
    <xf numFmtId="0" fontId="8" fillId="4" borderId="29" xfId="0" quotePrefix="1" applyFont="1" applyFill="1" applyBorder="1" applyAlignment="1">
      <alignment horizontal="center"/>
    </xf>
    <xf numFmtId="0" fontId="8" fillId="4" borderId="30" xfId="0" applyFont="1" applyFill="1" applyBorder="1" applyAlignment="1">
      <alignment horizontal="center"/>
    </xf>
    <xf numFmtId="165" fontId="8" fillId="4" borderId="29" xfId="0" applyNumberFormat="1" applyFont="1" applyFill="1" applyBorder="1" applyAlignment="1">
      <alignment horizontal="center"/>
    </xf>
    <xf numFmtId="0" fontId="8" fillId="4" borderId="29" xfId="0" applyFont="1" applyFill="1" applyBorder="1" applyAlignment="1">
      <alignment horizontal="center" wrapText="1"/>
    </xf>
    <xf numFmtId="0" fontId="8" fillId="4" borderId="66" xfId="0" applyFont="1" applyFill="1" applyBorder="1" applyAlignment="1">
      <alignment horizontal="center" wrapText="1"/>
    </xf>
    <xf numFmtId="0" fontId="8" fillId="4" borderId="66" xfId="0" applyFont="1" applyFill="1" applyBorder="1" applyAlignment="1">
      <alignment horizontal="center"/>
    </xf>
    <xf numFmtId="0" fontId="8" fillId="4" borderId="56" xfId="0" applyFont="1" applyFill="1" applyBorder="1" applyAlignment="1">
      <alignment horizontal="center"/>
    </xf>
    <xf numFmtId="165" fontId="8" fillId="4" borderId="66" xfId="0" applyNumberFormat="1" applyFont="1" applyFill="1" applyBorder="1" applyAlignment="1">
      <alignment horizontal="center"/>
    </xf>
    <xf numFmtId="0" fontId="8" fillId="4" borderId="31" xfId="0" applyFont="1" applyFill="1" applyBorder="1" applyAlignment="1">
      <alignment horizontal="center"/>
    </xf>
    <xf numFmtId="165" fontId="8" fillId="4" borderId="42" xfId="0" applyNumberFormat="1" applyFont="1" applyFill="1" applyBorder="1" applyAlignment="1">
      <alignment horizontal="center" wrapText="1"/>
    </xf>
    <xf numFmtId="165" fontId="8" fillId="4" borderId="29" xfId="0" applyNumberFormat="1" applyFont="1" applyFill="1" applyBorder="1" applyAlignment="1">
      <alignment horizontal="center" wrapText="1"/>
    </xf>
    <xf numFmtId="0" fontId="8" fillId="4" borderId="31" xfId="0" applyFont="1" applyFill="1" applyBorder="1" applyAlignment="1">
      <alignment horizontal="center" wrapText="1"/>
    </xf>
    <xf numFmtId="165" fontId="8" fillId="4" borderId="30" xfId="0" applyNumberFormat="1" applyFont="1" applyFill="1" applyBorder="1" applyAlignment="1">
      <alignment horizontal="center" wrapText="1"/>
    </xf>
    <xf numFmtId="165" fontId="8" fillId="4" borderId="31" xfId="0" applyNumberFormat="1" applyFont="1" applyFill="1" applyBorder="1" applyAlignment="1">
      <alignment horizontal="center" wrapText="1"/>
    </xf>
    <xf numFmtId="167" fontId="8" fillId="4" borderId="29" xfId="0" applyNumberFormat="1" applyFont="1" applyFill="1" applyBorder="1" applyAlignment="1">
      <alignment horizontal="center" wrapText="1"/>
    </xf>
    <xf numFmtId="0" fontId="8" fillId="4" borderId="30" xfId="0" applyFont="1" applyFill="1" applyBorder="1" applyAlignment="1">
      <alignment horizontal="center" wrapText="1"/>
    </xf>
    <xf numFmtId="165" fontId="8" fillId="4" borderId="66" xfId="0" applyNumberFormat="1" applyFont="1" applyFill="1" applyBorder="1" applyAlignment="1">
      <alignment horizontal="center" wrapText="1"/>
    </xf>
    <xf numFmtId="0" fontId="8" fillId="4" borderId="1" xfId="0" applyFont="1" applyFill="1" applyBorder="1" applyAlignment="1">
      <alignment horizontal="left"/>
    </xf>
    <xf numFmtId="0" fontId="8" fillId="4" borderId="1" xfId="0" applyFont="1" applyFill="1" applyBorder="1"/>
    <xf numFmtId="0" fontId="8" fillId="4" borderId="0" xfId="0" applyFont="1" applyFill="1"/>
    <xf numFmtId="0" fontId="8" fillId="4" borderId="4" xfId="0" applyFont="1" applyFill="1" applyBorder="1"/>
    <xf numFmtId="0" fontId="8" fillId="4" borderId="4" xfId="0" applyFont="1" applyFill="1" applyBorder="1" applyAlignment="1">
      <alignment horizontal="center"/>
    </xf>
    <xf numFmtId="164" fontId="8" fillId="4" borderId="37" xfId="0" applyNumberFormat="1" applyFont="1" applyFill="1" applyBorder="1" applyAlignment="1">
      <alignment horizontal="left" wrapText="1"/>
    </xf>
    <xf numFmtId="0" fontId="8" fillId="4" borderId="37" xfId="0" applyFont="1" applyFill="1" applyBorder="1" applyAlignment="1">
      <alignment horizontal="center"/>
    </xf>
    <xf numFmtId="165" fontId="8" fillId="4" borderId="4" xfId="0" applyNumberFormat="1" applyFont="1" applyFill="1" applyBorder="1" applyAlignment="1">
      <alignment horizontal="center"/>
    </xf>
    <xf numFmtId="165" fontId="8" fillId="4" borderId="16" xfId="0" applyNumberFormat="1" applyFont="1" applyFill="1" applyBorder="1" applyAlignment="1">
      <alignment horizontal="center"/>
    </xf>
    <xf numFmtId="2" fontId="8" fillId="4" borderId="16" xfId="0" applyNumberFormat="1" applyFont="1" applyFill="1" applyBorder="1" applyAlignment="1">
      <alignment horizontal="center"/>
    </xf>
    <xf numFmtId="2" fontId="8" fillId="4" borderId="1" xfId="0" applyNumberFormat="1" applyFont="1" applyFill="1" applyBorder="1" applyAlignment="1">
      <alignment horizontal="center"/>
    </xf>
    <xf numFmtId="2" fontId="8" fillId="4" borderId="2" xfId="0" applyNumberFormat="1" applyFont="1" applyFill="1" applyBorder="1" applyAlignment="1">
      <alignment horizontal="center"/>
    </xf>
    <xf numFmtId="2" fontId="8" fillId="4" borderId="5" xfId="0" applyNumberFormat="1" applyFont="1" applyFill="1" applyBorder="1" applyAlignment="1">
      <alignment horizontal="center"/>
    </xf>
    <xf numFmtId="0" fontId="8" fillId="4" borderId="3" xfId="0" applyFont="1" applyFill="1" applyBorder="1" applyAlignment="1">
      <alignment horizontal="center"/>
    </xf>
    <xf numFmtId="165" fontId="8" fillId="4" borderId="1" xfId="0" applyNumberFormat="1" applyFont="1" applyFill="1" applyBorder="1" applyAlignment="1">
      <alignment horizontal="center"/>
    </xf>
    <xf numFmtId="165" fontId="8" fillId="4" borderId="2" xfId="0" applyNumberFormat="1" applyFont="1" applyFill="1" applyBorder="1" applyAlignment="1">
      <alignment horizontal="center"/>
    </xf>
    <xf numFmtId="165" fontId="8" fillId="4" borderId="5" xfId="0" applyNumberFormat="1" applyFont="1" applyFill="1" applyBorder="1" applyAlignment="1">
      <alignment horizontal="center"/>
    </xf>
    <xf numFmtId="0" fontId="8" fillId="4" borderId="1" xfId="0" applyFont="1" applyFill="1" applyBorder="1" applyAlignment="1">
      <alignment horizontal="center"/>
    </xf>
    <xf numFmtId="165" fontId="8" fillId="4" borderId="3" xfId="0" applyNumberFormat="1" applyFont="1" applyFill="1" applyBorder="1" applyAlignment="1">
      <alignment horizontal="center"/>
    </xf>
    <xf numFmtId="0" fontId="8" fillId="4" borderId="3" xfId="0" applyFont="1" applyFill="1" applyBorder="1" applyAlignment="1">
      <alignment horizontal="center" wrapText="1"/>
    </xf>
    <xf numFmtId="0" fontId="8" fillId="4" borderId="67" xfId="0" applyFont="1" applyFill="1" applyBorder="1" applyAlignment="1">
      <alignment horizontal="center" wrapText="1"/>
    </xf>
    <xf numFmtId="0" fontId="8" fillId="4" borderId="67" xfId="0" applyFont="1" applyFill="1" applyBorder="1" applyAlignment="1">
      <alignment horizontal="center"/>
    </xf>
    <xf numFmtId="0" fontId="8" fillId="4" borderId="54" xfId="0" applyFont="1" applyFill="1" applyBorder="1" applyAlignment="1">
      <alignment horizontal="center"/>
    </xf>
    <xf numFmtId="165" fontId="8" fillId="4" borderId="67" xfId="0" applyNumberFormat="1" applyFont="1" applyFill="1" applyBorder="1" applyAlignment="1">
      <alignment horizontal="center"/>
    </xf>
    <xf numFmtId="0" fontId="8" fillId="4" borderId="2" xfId="0" applyFont="1" applyFill="1" applyBorder="1" applyAlignment="1">
      <alignment horizontal="center"/>
    </xf>
    <xf numFmtId="0" fontId="8" fillId="4" borderId="4" xfId="0" applyFont="1" applyFill="1" applyBorder="1" applyAlignment="1">
      <alignment horizontal="center" wrapText="1"/>
    </xf>
    <xf numFmtId="165" fontId="8" fillId="4" borderId="3" xfId="0" applyNumberFormat="1" applyFont="1" applyFill="1" applyBorder="1" applyAlignment="1">
      <alignment horizontal="center" wrapText="1"/>
    </xf>
    <xf numFmtId="0" fontId="8" fillId="4" borderId="2" xfId="0" applyFont="1" applyFill="1" applyBorder="1" applyAlignment="1">
      <alignment horizontal="center" wrapText="1"/>
    </xf>
    <xf numFmtId="165" fontId="8" fillId="4" borderId="1" xfId="0" applyNumberFormat="1" applyFont="1" applyFill="1" applyBorder="1" applyAlignment="1">
      <alignment horizontal="center" wrapText="1"/>
    </xf>
    <xf numFmtId="165" fontId="8" fillId="4" borderId="2" xfId="0" applyNumberFormat="1" applyFont="1" applyFill="1" applyBorder="1" applyAlignment="1">
      <alignment horizontal="center" wrapText="1"/>
    </xf>
    <xf numFmtId="167" fontId="8" fillId="4" borderId="3" xfId="0" applyNumberFormat="1" applyFont="1" applyFill="1" applyBorder="1" applyAlignment="1">
      <alignment horizontal="center" wrapText="1"/>
    </xf>
    <xf numFmtId="0" fontId="8" fillId="4" borderId="1" xfId="0" applyFont="1" applyFill="1" applyBorder="1" applyAlignment="1">
      <alignment horizontal="center" wrapText="1"/>
    </xf>
    <xf numFmtId="165" fontId="8" fillId="4" borderId="67" xfId="0" applyNumberFormat="1" applyFont="1" applyFill="1" applyBorder="1" applyAlignment="1">
      <alignment horizontal="center" wrapText="1"/>
    </xf>
    <xf numFmtId="0" fontId="8" fillId="4" borderId="1" xfId="0" applyFont="1" applyFill="1" applyBorder="1" applyAlignment="1">
      <alignment vertical="center"/>
    </xf>
    <xf numFmtId="0" fontId="8" fillId="4" borderId="3" xfId="0" quotePrefix="1" applyFont="1" applyFill="1" applyBorder="1" applyAlignment="1">
      <alignment horizontal="center"/>
    </xf>
    <xf numFmtId="0" fontId="8" fillId="4" borderId="3" xfId="0" applyFont="1" applyFill="1" applyBorder="1" applyAlignment="1">
      <alignment horizontal="center" vertical="center"/>
    </xf>
    <xf numFmtId="0" fontId="8" fillId="4" borderId="5" xfId="0" applyFont="1" applyFill="1" applyBorder="1" applyAlignment="1">
      <alignment horizontal="center"/>
    </xf>
    <xf numFmtId="0" fontId="8" fillId="4" borderId="41" xfId="0" applyFont="1" applyFill="1" applyBorder="1"/>
    <xf numFmtId="164" fontId="8" fillId="4" borderId="44" xfId="0" applyNumberFormat="1" applyFont="1" applyFill="1" applyBorder="1" applyAlignment="1">
      <alignment horizontal="left" wrapText="1"/>
    </xf>
    <xf numFmtId="165" fontId="8" fillId="4" borderId="42" xfId="0" applyNumberFormat="1" applyFont="1" applyFill="1" applyBorder="1" applyAlignment="1">
      <alignment horizontal="center"/>
    </xf>
    <xf numFmtId="0" fontId="8" fillId="4" borderId="41" xfId="0" applyFont="1" applyFill="1" applyBorder="1" applyAlignment="1">
      <alignment horizontal="center"/>
    </xf>
    <xf numFmtId="0" fontId="8" fillId="4" borderId="29" xfId="0" applyFont="1" applyFill="1" applyBorder="1" applyAlignment="1">
      <alignment horizontal="center" vertical="center"/>
    </xf>
    <xf numFmtId="0" fontId="8" fillId="4" borderId="42" xfId="0" applyFont="1" applyFill="1" applyBorder="1" applyAlignment="1">
      <alignment horizontal="center" wrapText="1"/>
    </xf>
    <xf numFmtId="0" fontId="8" fillId="4" borderId="57" xfId="0" applyFont="1" applyFill="1" applyBorder="1" applyAlignment="1">
      <alignment horizontal="left" wrapText="1"/>
    </xf>
    <xf numFmtId="0" fontId="8" fillId="4" borderId="30" xfId="0" applyFont="1" applyFill="1" applyBorder="1"/>
    <xf numFmtId="0" fontId="8" fillId="4" borderId="4" xfId="0" applyFont="1" applyFill="1" applyBorder="1" applyAlignment="1">
      <alignment horizontal="left" wrapText="1"/>
    </xf>
    <xf numFmtId="0" fontId="12" fillId="4" borderId="4" xfId="0" applyFont="1" applyFill="1" applyBorder="1"/>
    <xf numFmtId="0" fontId="12" fillId="4" borderId="4" xfId="0" applyFont="1" applyFill="1" applyBorder="1" applyAlignment="1">
      <alignment horizontal="center"/>
    </xf>
    <xf numFmtId="14" fontId="8" fillId="4" borderId="3" xfId="0" quotePrefix="1" applyNumberFormat="1" applyFont="1" applyFill="1" applyBorder="1" applyAlignment="1">
      <alignment horizontal="center"/>
    </xf>
    <xf numFmtId="165" fontId="8" fillId="4" borderId="9" xfId="0" applyNumberFormat="1" applyFont="1" applyFill="1" applyBorder="1" applyAlignment="1">
      <alignment horizontal="center"/>
    </xf>
    <xf numFmtId="0" fontId="8" fillId="4" borderId="17" xfId="0" applyFont="1" applyFill="1" applyBorder="1" applyAlignment="1">
      <alignment horizontal="center"/>
    </xf>
    <xf numFmtId="0" fontId="12" fillId="4" borderId="1" xfId="0" applyFont="1" applyFill="1" applyBorder="1" applyAlignment="1">
      <alignment horizontal="left"/>
    </xf>
    <xf numFmtId="2" fontId="8" fillId="4" borderId="4" xfId="0" applyNumberFormat="1" applyFont="1" applyFill="1" applyBorder="1" applyAlignment="1">
      <alignment horizontal="left" wrapText="1"/>
    </xf>
    <xf numFmtId="0" fontId="10" fillId="4" borderId="1" xfId="0" applyFont="1" applyFill="1" applyBorder="1"/>
    <xf numFmtId="0" fontId="8" fillId="4" borderId="8" xfId="0" applyFont="1" applyFill="1" applyBorder="1"/>
    <xf numFmtId="0" fontId="8" fillId="4" borderId="8" xfId="0" applyFont="1" applyFill="1" applyBorder="1" applyAlignment="1">
      <alignment horizontal="center"/>
    </xf>
    <xf numFmtId="0" fontId="8" fillId="4" borderId="8" xfId="0" applyFont="1" applyFill="1" applyBorder="1" applyAlignment="1">
      <alignment horizontal="left" wrapText="1"/>
    </xf>
    <xf numFmtId="0" fontId="8" fillId="4" borderId="0" xfId="0" applyFont="1" applyFill="1" applyAlignment="1">
      <alignment horizontal="left"/>
    </xf>
    <xf numFmtId="0" fontId="8" fillId="4" borderId="38" xfId="0" applyFont="1" applyFill="1" applyBorder="1" applyAlignment="1">
      <alignment horizontal="center"/>
    </xf>
    <xf numFmtId="165" fontId="8" fillId="4" borderId="8" xfId="0" applyNumberFormat="1" applyFont="1" applyFill="1" applyBorder="1" applyAlignment="1">
      <alignment horizontal="center"/>
    </xf>
    <xf numFmtId="165" fontId="8" fillId="4" borderId="24" xfId="0" applyNumberFormat="1" applyFont="1" applyFill="1" applyBorder="1" applyAlignment="1">
      <alignment horizontal="center"/>
    </xf>
    <xf numFmtId="2" fontId="8" fillId="4" borderId="24" xfId="0" applyNumberFormat="1" applyFont="1" applyFill="1" applyBorder="1" applyAlignment="1">
      <alignment horizontal="center"/>
    </xf>
    <xf numFmtId="2" fontId="8" fillId="4" borderId="10" xfId="0" applyNumberFormat="1" applyFont="1" applyFill="1" applyBorder="1" applyAlignment="1">
      <alignment horizontal="center"/>
    </xf>
    <xf numFmtId="2" fontId="8" fillId="4" borderId="9" xfId="0" applyNumberFormat="1" applyFont="1" applyFill="1" applyBorder="1" applyAlignment="1">
      <alignment horizontal="center"/>
    </xf>
    <xf numFmtId="2" fontId="8" fillId="4" borderId="13" xfId="0" applyNumberFormat="1" applyFont="1" applyFill="1" applyBorder="1" applyAlignment="1">
      <alignment horizontal="center"/>
    </xf>
    <xf numFmtId="0" fontId="8" fillId="4" borderId="23" xfId="0" applyFont="1" applyFill="1" applyBorder="1" applyAlignment="1">
      <alignment horizontal="center"/>
    </xf>
    <xf numFmtId="165" fontId="8" fillId="4" borderId="10" xfId="0" applyNumberFormat="1" applyFont="1" applyFill="1" applyBorder="1" applyAlignment="1">
      <alignment horizontal="center"/>
    </xf>
    <xf numFmtId="165" fontId="8" fillId="4" borderId="13" xfId="0" applyNumberFormat="1" applyFont="1" applyFill="1" applyBorder="1" applyAlignment="1">
      <alignment horizontal="center"/>
    </xf>
    <xf numFmtId="0" fontId="8" fillId="4" borderId="10" xfId="0" applyFont="1" applyFill="1" applyBorder="1" applyAlignment="1">
      <alignment horizontal="center"/>
    </xf>
    <xf numFmtId="165" fontId="8" fillId="4" borderId="23" xfId="0" applyNumberFormat="1" applyFont="1" applyFill="1" applyBorder="1" applyAlignment="1">
      <alignment horizontal="center"/>
    </xf>
    <xf numFmtId="0" fontId="8" fillId="4" borderId="23" xfId="0" applyFont="1" applyFill="1" applyBorder="1" applyAlignment="1">
      <alignment horizontal="center" wrapText="1"/>
    </xf>
    <xf numFmtId="0" fontId="8" fillId="4" borderId="15" xfId="0" applyFont="1" applyFill="1" applyBorder="1" applyAlignment="1">
      <alignment horizontal="center" wrapText="1"/>
    </xf>
    <xf numFmtId="0" fontId="8" fillId="4" borderId="15" xfId="0" applyFont="1" applyFill="1" applyBorder="1" applyAlignment="1">
      <alignment horizontal="center"/>
    </xf>
    <xf numFmtId="165" fontId="8" fillId="4" borderId="15" xfId="0" applyNumberFormat="1" applyFont="1" applyFill="1" applyBorder="1" applyAlignment="1">
      <alignment horizontal="center"/>
    </xf>
    <xf numFmtId="0" fontId="8" fillId="4" borderId="9" xfId="0" applyFont="1" applyFill="1" applyBorder="1" applyAlignment="1">
      <alignment horizontal="center"/>
    </xf>
    <xf numFmtId="0" fontId="8" fillId="4" borderId="8" xfId="0" applyFont="1" applyFill="1" applyBorder="1" applyAlignment="1">
      <alignment horizontal="center" wrapText="1"/>
    </xf>
    <xf numFmtId="165" fontId="8" fillId="4" borderId="23" xfId="0" applyNumberFormat="1" applyFont="1" applyFill="1" applyBorder="1" applyAlignment="1">
      <alignment horizontal="center" wrapText="1"/>
    </xf>
    <xf numFmtId="0" fontId="8" fillId="4" borderId="9" xfId="0" applyFont="1" applyFill="1" applyBorder="1" applyAlignment="1">
      <alignment horizontal="center" wrapText="1"/>
    </xf>
    <xf numFmtId="165" fontId="8" fillId="4" borderId="10" xfId="0" applyNumberFormat="1" applyFont="1" applyFill="1" applyBorder="1" applyAlignment="1">
      <alignment horizontal="center" wrapText="1"/>
    </xf>
    <xf numFmtId="165" fontId="8" fillId="4" borderId="9" xfId="0" applyNumberFormat="1" applyFont="1" applyFill="1" applyBorder="1" applyAlignment="1">
      <alignment horizontal="center" wrapText="1"/>
    </xf>
    <xf numFmtId="167" fontId="8" fillId="4" borderId="23" xfId="0" applyNumberFormat="1" applyFont="1" applyFill="1" applyBorder="1" applyAlignment="1">
      <alignment horizontal="center" wrapText="1"/>
    </xf>
    <xf numFmtId="0" fontId="8" fillId="4" borderId="10" xfId="0" applyFont="1" applyFill="1" applyBorder="1" applyAlignment="1">
      <alignment horizontal="center" wrapText="1"/>
    </xf>
    <xf numFmtId="165" fontId="8" fillId="4" borderId="15" xfId="0" applyNumberFormat="1" applyFont="1" applyFill="1" applyBorder="1" applyAlignment="1">
      <alignment horizontal="center" wrapText="1"/>
    </xf>
    <xf numFmtId="0" fontId="8" fillId="4" borderId="71" xfId="0" applyFont="1" applyFill="1" applyBorder="1"/>
    <xf numFmtId="0" fontId="8" fillId="4" borderId="71" xfId="0" applyFont="1" applyFill="1" applyBorder="1" applyAlignment="1">
      <alignment horizontal="center"/>
    </xf>
    <xf numFmtId="0" fontId="8" fillId="4" borderId="74" xfId="0" applyFont="1" applyFill="1" applyBorder="1" applyAlignment="1">
      <alignment horizontal="left" wrapText="1"/>
    </xf>
    <xf numFmtId="0" fontId="8" fillId="4" borderId="51" xfId="0" applyFont="1" applyFill="1" applyBorder="1" applyAlignment="1">
      <alignment horizontal="center"/>
    </xf>
    <xf numFmtId="165" fontId="8" fillId="4" borderId="52" xfId="0" applyNumberFormat="1" applyFont="1" applyFill="1" applyBorder="1" applyAlignment="1">
      <alignment horizontal="center"/>
    </xf>
    <xf numFmtId="165" fontId="8" fillId="4" borderId="0" xfId="0" applyNumberFormat="1" applyFont="1" applyFill="1" applyAlignment="1">
      <alignment horizontal="center"/>
    </xf>
    <xf numFmtId="2" fontId="8" fillId="4" borderId="50" xfId="0" applyNumberFormat="1" applyFont="1" applyFill="1" applyBorder="1" applyAlignment="1">
      <alignment horizontal="center"/>
    </xf>
    <xf numFmtId="2" fontId="8" fillId="4" borderId="72" xfId="0" applyNumberFormat="1" applyFont="1" applyFill="1" applyBorder="1" applyAlignment="1">
      <alignment horizontal="center"/>
    </xf>
    <xf numFmtId="2" fontId="8" fillId="4" borderId="63" xfId="0" applyNumberFormat="1" applyFont="1" applyFill="1" applyBorder="1" applyAlignment="1">
      <alignment horizontal="center"/>
    </xf>
    <xf numFmtId="0" fontId="8" fillId="4" borderId="73" xfId="0" applyFont="1" applyFill="1" applyBorder="1" applyAlignment="1">
      <alignment horizontal="center"/>
    </xf>
    <xf numFmtId="165" fontId="8" fillId="4" borderId="72" xfId="0" applyNumberFormat="1" applyFont="1" applyFill="1" applyBorder="1" applyAlignment="1">
      <alignment horizontal="center"/>
    </xf>
    <xf numFmtId="165" fontId="8" fillId="4" borderId="63" xfId="0" applyNumberFormat="1" applyFont="1" applyFill="1" applyBorder="1" applyAlignment="1">
      <alignment horizontal="center"/>
    </xf>
    <xf numFmtId="0" fontId="8" fillId="4" borderId="72" xfId="0" applyFont="1" applyFill="1" applyBorder="1" applyAlignment="1">
      <alignment horizontal="center"/>
    </xf>
    <xf numFmtId="165" fontId="8" fillId="4" borderId="73" xfId="0" applyNumberFormat="1" applyFont="1" applyFill="1" applyBorder="1" applyAlignment="1">
      <alignment horizontal="center"/>
    </xf>
    <xf numFmtId="0" fontId="8" fillId="4" borderId="73" xfId="0" applyFont="1" applyFill="1" applyBorder="1" applyAlignment="1">
      <alignment horizontal="center" wrapText="1"/>
    </xf>
    <xf numFmtId="0" fontId="8" fillId="4" borderId="68" xfId="0" applyFont="1" applyFill="1" applyBorder="1" applyAlignment="1">
      <alignment horizontal="center" wrapText="1"/>
    </xf>
    <xf numFmtId="0" fontId="8" fillId="4" borderId="68" xfId="0" applyFont="1" applyFill="1" applyBorder="1" applyAlignment="1">
      <alignment horizontal="center"/>
    </xf>
    <xf numFmtId="0" fontId="8" fillId="4" borderId="64" xfId="0" applyFont="1" applyFill="1" applyBorder="1" applyAlignment="1">
      <alignment horizontal="center"/>
    </xf>
    <xf numFmtId="165" fontId="8" fillId="4" borderId="68" xfId="0" applyNumberFormat="1" applyFont="1" applyFill="1" applyBorder="1" applyAlignment="1">
      <alignment horizontal="center"/>
    </xf>
    <xf numFmtId="0" fontId="8" fillId="4" borderId="63" xfId="0" applyFont="1" applyFill="1" applyBorder="1" applyAlignment="1">
      <alignment horizontal="center"/>
    </xf>
    <xf numFmtId="0" fontId="8" fillId="4" borderId="71" xfId="0" applyFont="1" applyFill="1" applyBorder="1" applyAlignment="1">
      <alignment horizontal="center" wrapText="1"/>
    </xf>
    <xf numFmtId="165" fontId="8" fillId="4" borderId="73" xfId="0" applyNumberFormat="1" applyFont="1" applyFill="1" applyBorder="1" applyAlignment="1">
      <alignment horizontal="center" wrapText="1"/>
    </xf>
    <xf numFmtId="0" fontId="8" fillId="4" borderId="63" xfId="0" applyFont="1" applyFill="1" applyBorder="1" applyAlignment="1">
      <alignment horizontal="center" wrapText="1"/>
    </xf>
    <xf numFmtId="165" fontId="8" fillId="4" borderId="72" xfId="0" applyNumberFormat="1" applyFont="1" applyFill="1" applyBorder="1" applyAlignment="1">
      <alignment horizontal="center" wrapText="1"/>
    </xf>
    <xf numFmtId="165" fontId="8" fillId="4" borderId="63" xfId="0" applyNumberFormat="1" applyFont="1" applyFill="1" applyBorder="1" applyAlignment="1">
      <alignment horizontal="center" wrapText="1"/>
    </xf>
    <xf numFmtId="167" fontId="8" fillId="4" borderId="73" xfId="0" applyNumberFormat="1" applyFont="1" applyFill="1" applyBorder="1" applyAlignment="1">
      <alignment horizontal="center" wrapText="1"/>
    </xf>
    <xf numFmtId="0" fontId="8" fillId="4" borderId="72" xfId="0" applyFont="1" applyFill="1" applyBorder="1" applyAlignment="1">
      <alignment horizontal="center" wrapText="1"/>
    </xf>
    <xf numFmtId="165" fontId="8" fillId="4" borderId="68" xfId="0" applyNumberFormat="1" applyFont="1" applyFill="1" applyBorder="1" applyAlignment="1">
      <alignment horizontal="center" wrapText="1"/>
    </xf>
    <xf numFmtId="0" fontId="8" fillId="4" borderId="41" xfId="0" applyFont="1" applyFill="1" applyBorder="1" applyAlignment="1">
      <alignment horizontal="left" wrapText="1"/>
    </xf>
    <xf numFmtId="0" fontId="8" fillId="4" borderId="5" xfId="0" applyFont="1" applyFill="1" applyBorder="1" applyAlignment="1">
      <alignment horizontal="left" wrapText="1"/>
    </xf>
    <xf numFmtId="0" fontId="0" fillId="4" borderId="1" xfId="0" applyFill="1" applyBorder="1"/>
    <xf numFmtId="0" fontId="12" fillId="4" borderId="1" xfId="0" applyFont="1" applyFill="1" applyBorder="1"/>
    <xf numFmtId="165" fontId="8" fillId="4" borderId="1" xfId="0" applyNumberFormat="1" applyFont="1" applyFill="1" applyBorder="1" applyAlignment="1">
      <alignment horizontal="center" vertical="center"/>
    </xf>
    <xf numFmtId="0" fontId="8" fillId="4" borderId="13" xfId="0" applyFont="1" applyFill="1" applyBorder="1" applyAlignment="1">
      <alignment horizontal="left" wrapText="1"/>
    </xf>
    <xf numFmtId="165" fontId="8" fillId="4" borderId="45" xfId="0" applyNumberFormat="1" applyFont="1" applyFill="1" applyBorder="1" applyAlignment="1">
      <alignment horizontal="center"/>
    </xf>
    <xf numFmtId="165" fontId="8" fillId="4" borderId="15" xfId="0" applyNumberFormat="1" applyFont="1" applyFill="1" applyBorder="1" applyAlignment="1">
      <alignment horizontal="center" shrinkToFit="1"/>
    </xf>
    <xf numFmtId="0" fontId="8" fillId="4" borderId="66" xfId="0" quotePrefix="1" applyFont="1" applyFill="1" applyBorder="1" applyAlignment="1">
      <alignment horizontal="center"/>
    </xf>
    <xf numFmtId="0" fontId="8" fillId="4" borderId="67" xfId="0" quotePrefix="1" applyFont="1" applyFill="1" applyBorder="1" applyAlignment="1">
      <alignment horizontal="center"/>
    </xf>
    <xf numFmtId="165" fontId="8" fillId="4" borderId="44" xfId="0" applyNumberFormat="1" applyFont="1" applyFill="1" applyBorder="1" applyAlignment="1">
      <alignment horizontal="center"/>
    </xf>
    <xf numFmtId="165" fontId="8" fillId="4" borderId="37" xfId="0" applyNumberFormat="1" applyFont="1" applyFill="1" applyBorder="1" applyAlignment="1">
      <alignment horizontal="center"/>
    </xf>
    <xf numFmtId="0" fontId="8" fillId="4" borderId="5" xfId="0" applyFont="1" applyFill="1" applyBorder="1"/>
    <xf numFmtId="0" fontId="8" fillId="4" borderId="57" xfId="0" applyFont="1" applyFill="1" applyBorder="1"/>
    <xf numFmtId="0" fontId="8" fillId="4" borderId="39" xfId="0" applyFont="1" applyFill="1" applyBorder="1" applyAlignment="1">
      <alignment horizontal="center"/>
    </xf>
    <xf numFmtId="0" fontId="8" fillId="4" borderId="39" xfId="0" applyFont="1" applyFill="1" applyBorder="1" applyAlignment="1">
      <alignment horizontal="left" wrapText="1"/>
    </xf>
    <xf numFmtId="0" fontId="8" fillId="4" borderId="59" xfId="0" applyFont="1" applyFill="1" applyBorder="1" applyAlignment="1">
      <alignment horizontal="center"/>
    </xf>
    <xf numFmtId="165" fontId="8" fillId="4" borderId="59" xfId="0" applyNumberFormat="1" applyFont="1" applyFill="1" applyBorder="1" applyAlignment="1">
      <alignment horizontal="center"/>
    </xf>
    <xf numFmtId="165" fontId="8" fillId="4" borderId="39" xfId="0" applyNumberFormat="1" applyFont="1" applyFill="1" applyBorder="1" applyAlignment="1">
      <alignment horizontal="center"/>
    </xf>
    <xf numFmtId="2" fontId="8" fillId="4" borderId="58" xfId="0" applyNumberFormat="1" applyFont="1" applyFill="1" applyBorder="1" applyAlignment="1">
      <alignment horizontal="center"/>
    </xf>
    <xf numFmtId="2" fontId="8" fillId="4" borderId="34" xfId="0" applyNumberFormat="1" applyFont="1" applyFill="1" applyBorder="1" applyAlignment="1">
      <alignment horizontal="center"/>
    </xf>
    <xf numFmtId="2" fontId="8" fillId="4" borderId="35" xfId="0" applyNumberFormat="1" applyFont="1" applyFill="1" applyBorder="1" applyAlignment="1">
      <alignment horizontal="center"/>
    </xf>
    <xf numFmtId="2" fontId="8" fillId="4" borderId="39" xfId="0" applyNumberFormat="1" applyFont="1" applyFill="1" applyBorder="1" applyAlignment="1">
      <alignment horizontal="center"/>
    </xf>
    <xf numFmtId="0" fontId="8" fillId="4" borderId="33" xfId="0" applyFont="1" applyFill="1" applyBorder="1" applyAlignment="1">
      <alignment horizontal="center"/>
    </xf>
    <xf numFmtId="165" fontId="8" fillId="4" borderId="34" xfId="0" applyNumberFormat="1" applyFont="1" applyFill="1" applyBorder="1" applyAlignment="1">
      <alignment horizontal="center"/>
    </xf>
    <xf numFmtId="165" fontId="8" fillId="4" borderId="35" xfId="0" applyNumberFormat="1" applyFont="1" applyFill="1" applyBorder="1" applyAlignment="1">
      <alignment horizontal="center"/>
    </xf>
    <xf numFmtId="0" fontId="8" fillId="4" borderId="34" xfId="0" applyFont="1" applyFill="1" applyBorder="1" applyAlignment="1">
      <alignment horizontal="center"/>
    </xf>
    <xf numFmtId="165" fontId="8" fillId="4" borderId="33" xfId="0" applyNumberFormat="1" applyFont="1" applyFill="1" applyBorder="1" applyAlignment="1">
      <alignment horizontal="center"/>
    </xf>
    <xf numFmtId="0" fontId="8" fillId="4" borderId="33" xfId="0" applyFont="1" applyFill="1" applyBorder="1" applyAlignment="1">
      <alignment horizontal="center" wrapText="1"/>
    </xf>
    <xf numFmtId="0" fontId="8" fillId="4" borderId="60" xfId="0" applyFont="1" applyFill="1" applyBorder="1" applyAlignment="1">
      <alignment horizontal="center" wrapText="1"/>
    </xf>
    <xf numFmtId="0" fontId="8" fillId="4" borderId="60" xfId="0" applyFont="1" applyFill="1" applyBorder="1" applyAlignment="1">
      <alignment horizontal="center"/>
    </xf>
    <xf numFmtId="0" fontId="8" fillId="4" borderId="53" xfId="0" applyFont="1" applyFill="1" applyBorder="1" applyAlignment="1">
      <alignment horizontal="center"/>
    </xf>
    <xf numFmtId="165" fontId="8" fillId="4" borderId="60" xfId="0" applyNumberFormat="1" applyFont="1" applyFill="1" applyBorder="1" applyAlignment="1">
      <alignment horizontal="center"/>
    </xf>
    <xf numFmtId="0" fontId="8" fillId="4" borderId="35" xfId="0" applyFont="1" applyFill="1" applyBorder="1" applyAlignment="1">
      <alignment horizontal="center"/>
    </xf>
    <xf numFmtId="0" fontId="8" fillId="4" borderId="57" xfId="0" applyFont="1" applyFill="1" applyBorder="1" applyAlignment="1">
      <alignment horizontal="center" wrapText="1"/>
    </xf>
    <xf numFmtId="165" fontId="8" fillId="4" borderId="33" xfId="0" applyNumberFormat="1" applyFont="1" applyFill="1" applyBorder="1" applyAlignment="1">
      <alignment horizontal="center" wrapText="1"/>
    </xf>
    <xf numFmtId="0" fontId="8" fillId="4" borderId="35" xfId="0" applyFont="1" applyFill="1" applyBorder="1" applyAlignment="1">
      <alignment horizontal="center" wrapText="1"/>
    </xf>
    <xf numFmtId="165" fontId="8" fillId="4" borderId="34" xfId="0" applyNumberFormat="1" applyFont="1" applyFill="1" applyBorder="1" applyAlignment="1">
      <alignment horizontal="center" wrapText="1"/>
    </xf>
    <xf numFmtId="165" fontId="8" fillId="4" borderId="35" xfId="0" applyNumberFormat="1" applyFont="1" applyFill="1" applyBorder="1" applyAlignment="1">
      <alignment horizontal="center" wrapText="1"/>
    </xf>
    <xf numFmtId="167" fontId="8" fillId="4" borderId="33" xfId="0" applyNumberFormat="1" applyFont="1" applyFill="1" applyBorder="1" applyAlignment="1">
      <alignment horizontal="center" wrapText="1"/>
    </xf>
    <xf numFmtId="0" fontId="8" fillId="4" borderId="34" xfId="0" applyFont="1" applyFill="1" applyBorder="1" applyAlignment="1">
      <alignment horizontal="center" wrapText="1"/>
    </xf>
    <xf numFmtId="0" fontId="12" fillId="4" borderId="0" xfId="0" applyFont="1" applyFill="1"/>
    <xf numFmtId="0" fontId="8" fillId="4" borderId="0" xfId="0" applyFont="1" applyFill="1" applyAlignment="1">
      <alignment vertical="center"/>
    </xf>
    <xf numFmtId="0" fontId="12" fillId="4" borderId="41" xfId="0" applyFont="1" applyFill="1" applyBorder="1"/>
    <xf numFmtId="0" fontId="8" fillId="4" borderId="41" xfId="0" applyFont="1" applyFill="1" applyBorder="1" applyAlignment="1">
      <alignment vertical="center"/>
    </xf>
    <xf numFmtId="0" fontId="12" fillId="4" borderId="5" xfId="0" applyFont="1" applyFill="1" applyBorder="1"/>
    <xf numFmtId="0" fontId="8" fillId="4" borderId="5" xfId="0" applyFont="1" applyFill="1" applyBorder="1" applyAlignment="1">
      <alignment vertical="center"/>
    </xf>
    <xf numFmtId="0" fontId="8" fillId="4" borderId="45" xfId="0" applyFont="1" applyFill="1" applyBorder="1"/>
    <xf numFmtId="0" fontId="8" fillId="4" borderId="46" xfId="0" applyFont="1" applyFill="1" applyBorder="1" applyAlignment="1">
      <alignment horizontal="center"/>
    </xf>
    <xf numFmtId="0" fontId="8" fillId="4" borderId="46" xfId="0" applyFont="1" applyFill="1" applyBorder="1" applyAlignment="1">
      <alignment horizontal="left" wrapText="1"/>
    </xf>
    <xf numFmtId="0" fontId="8" fillId="4" borderId="48" xfId="0" applyFont="1" applyFill="1" applyBorder="1" applyAlignment="1">
      <alignment horizontal="center"/>
    </xf>
    <xf numFmtId="165" fontId="8" fillId="4" borderId="48" xfId="0" applyNumberFormat="1" applyFont="1" applyFill="1" applyBorder="1" applyAlignment="1">
      <alignment horizontal="center"/>
    </xf>
    <xf numFmtId="165" fontId="8" fillId="4" borderId="46" xfId="0" applyNumberFormat="1" applyFont="1" applyFill="1" applyBorder="1" applyAlignment="1">
      <alignment horizontal="center"/>
    </xf>
    <xf numFmtId="2" fontId="8" fillId="4" borderId="47" xfId="0" applyNumberFormat="1" applyFont="1" applyFill="1" applyBorder="1" applyAlignment="1">
      <alignment horizontal="center"/>
    </xf>
    <xf numFmtId="2" fontId="8" fillId="4" borderId="27" xfId="0" applyNumberFormat="1" applyFont="1" applyFill="1" applyBorder="1" applyAlignment="1">
      <alignment horizontal="center"/>
    </xf>
    <xf numFmtId="2" fontId="8" fillId="4" borderId="28" xfId="0" applyNumberFormat="1" applyFont="1" applyFill="1" applyBorder="1" applyAlignment="1">
      <alignment horizontal="center"/>
    </xf>
    <xf numFmtId="2" fontId="8" fillId="4" borderId="46" xfId="0" applyNumberFormat="1" applyFont="1" applyFill="1" applyBorder="1" applyAlignment="1">
      <alignment horizontal="center"/>
    </xf>
    <xf numFmtId="0" fontId="8" fillId="4" borderId="26" xfId="0" applyFont="1" applyFill="1" applyBorder="1" applyAlignment="1">
      <alignment horizontal="center"/>
    </xf>
    <xf numFmtId="165" fontId="8" fillId="4" borderId="27" xfId="0" applyNumberFormat="1" applyFont="1" applyFill="1" applyBorder="1" applyAlignment="1">
      <alignment horizontal="center"/>
    </xf>
    <xf numFmtId="165" fontId="8" fillId="4" borderId="28" xfId="0" applyNumberFormat="1" applyFont="1" applyFill="1" applyBorder="1" applyAlignment="1">
      <alignment horizontal="center"/>
    </xf>
    <xf numFmtId="0" fontId="8" fillId="4" borderId="27" xfId="0" applyFont="1" applyFill="1" applyBorder="1" applyAlignment="1">
      <alignment horizontal="center"/>
    </xf>
    <xf numFmtId="165" fontId="8" fillId="4" borderId="26" xfId="0" applyNumberFormat="1" applyFont="1" applyFill="1" applyBorder="1" applyAlignment="1">
      <alignment horizontal="center"/>
    </xf>
    <xf numFmtId="0" fontId="8" fillId="4" borderId="26" xfId="0" applyFont="1" applyFill="1" applyBorder="1" applyAlignment="1">
      <alignment horizontal="center" wrapText="1"/>
    </xf>
    <xf numFmtId="0" fontId="8" fillId="4" borderId="69" xfId="0" applyFont="1" applyFill="1" applyBorder="1" applyAlignment="1">
      <alignment horizontal="center" wrapText="1"/>
    </xf>
    <xf numFmtId="0" fontId="8" fillId="4" borderId="69" xfId="0" applyFont="1" applyFill="1" applyBorder="1" applyAlignment="1">
      <alignment horizontal="center"/>
    </xf>
    <xf numFmtId="0" fontId="8" fillId="4" borderId="55" xfId="0" applyFont="1" applyFill="1" applyBorder="1" applyAlignment="1">
      <alignment horizontal="center"/>
    </xf>
    <xf numFmtId="165" fontId="8" fillId="4" borderId="69" xfId="0" applyNumberFormat="1" applyFont="1" applyFill="1" applyBorder="1" applyAlignment="1">
      <alignment horizontal="center"/>
    </xf>
    <xf numFmtId="0" fontId="8" fillId="4" borderId="28" xfId="0" applyFont="1" applyFill="1" applyBorder="1" applyAlignment="1">
      <alignment horizontal="center"/>
    </xf>
    <xf numFmtId="0" fontId="8" fillId="4" borderId="45" xfId="0" applyFont="1" applyFill="1" applyBorder="1" applyAlignment="1">
      <alignment horizontal="center" wrapText="1"/>
    </xf>
    <xf numFmtId="165" fontId="8" fillId="4" borderId="26" xfId="0" applyNumberFormat="1" applyFont="1" applyFill="1" applyBorder="1" applyAlignment="1">
      <alignment horizontal="center" wrapText="1"/>
    </xf>
    <xf numFmtId="0" fontId="8" fillId="4" borderId="28" xfId="0" applyFont="1" applyFill="1" applyBorder="1" applyAlignment="1">
      <alignment horizontal="center" wrapText="1"/>
    </xf>
    <xf numFmtId="165" fontId="8" fillId="4" borderId="27" xfId="0" applyNumberFormat="1" applyFont="1" applyFill="1" applyBorder="1" applyAlignment="1">
      <alignment horizontal="center" wrapText="1"/>
    </xf>
    <xf numFmtId="165" fontId="8" fillId="4" borderId="28" xfId="0" applyNumberFormat="1" applyFont="1" applyFill="1" applyBorder="1" applyAlignment="1">
      <alignment horizontal="center" wrapText="1"/>
    </xf>
    <xf numFmtId="167" fontId="8" fillId="4" borderId="26" xfId="0" applyNumberFormat="1" applyFont="1" applyFill="1" applyBorder="1" applyAlignment="1">
      <alignment horizontal="center" wrapText="1"/>
    </xf>
    <xf numFmtId="0" fontId="8" fillId="4" borderId="27" xfId="0" applyFont="1" applyFill="1" applyBorder="1" applyAlignment="1">
      <alignment horizontal="center" wrapText="1"/>
    </xf>
    <xf numFmtId="0" fontId="12" fillId="4" borderId="13" xfId="0" applyFont="1" applyFill="1" applyBorder="1"/>
    <xf numFmtId="0" fontId="8" fillId="4" borderId="13" xfId="0" applyFont="1" applyFill="1" applyBorder="1" applyAlignment="1">
      <alignment vertical="center"/>
    </xf>
    <xf numFmtId="0" fontId="8" fillId="4" borderId="13" xfId="0" applyFont="1" applyFill="1" applyBorder="1"/>
    <xf numFmtId="2" fontId="8" fillId="4" borderId="60" xfId="0" applyNumberFormat="1" applyFont="1" applyFill="1" applyBorder="1" applyAlignment="1">
      <alignment horizontal="center"/>
    </xf>
    <xf numFmtId="2" fontId="8" fillId="4" borderId="57" xfId="0" applyNumberFormat="1" applyFont="1" applyFill="1" applyBorder="1" applyAlignment="1">
      <alignment horizontal="center"/>
    </xf>
    <xf numFmtId="165" fontId="8" fillId="4" borderId="60" xfId="0" applyNumberFormat="1" applyFont="1" applyFill="1" applyBorder="1" applyAlignment="1">
      <alignment horizontal="center" shrinkToFit="1"/>
    </xf>
    <xf numFmtId="2" fontId="8" fillId="4" borderId="67" xfId="0" applyNumberFormat="1" applyFont="1" applyFill="1" applyBorder="1" applyAlignment="1">
      <alignment horizontal="center"/>
    </xf>
    <xf numFmtId="2" fontId="8" fillId="4" borderId="4" xfId="0" applyNumberFormat="1" applyFont="1" applyFill="1" applyBorder="1" applyAlignment="1">
      <alignment horizontal="center"/>
    </xf>
    <xf numFmtId="165" fontId="8" fillId="4" borderId="67" xfId="0" applyNumberFormat="1" applyFont="1" applyFill="1" applyBorder="1" applyAlignment="1">
      <alignment horizontal="center" shrinkToFit="1"/>
    </xf>
    <xf numFmtId="0" fontId="9" fillId="0" borderId="67" xfId="0" applyFont="1" applyBorder="1"/>
    <xf numFmtId="0" fontId="8" fillId="0" borderId="67" xfId="0" applyFont="1" applyBorder="1"/>
    <xf numFmtId="0" fontId="8" fillId="4" borderId="67" xfId="0" applyFont="1" applyFill="1" applyBorder="1"/>
    <xf numFmtId="0" fontId="8" fillId="0" borderId="15" xfId="0" applyFont="1" applyBorder="1"/>
    <xf numFmtId="0" fontId="8" fillId="4" borderId="66" xfId="0" applyFont="1" applyFill="1" applyBorder="1"/>
    <xf numFmtId="0" fontId="8" fillId="2" borderId="67" xfId="0" applyFont="1" applyFill="1" applyBorder="1"/>
    <xf numFmtId="0" fontId="8" fillId="0" borderId="66" xfId="0" applyFont="1" applyBorder="1"/>
    <xf numFmtId="164" fontId="18" fillId="0" borderId="1" xfId="0" applyNumberFormat="1" applyFont="1" applyBorder="1" applyAlignment="1">
      <alignment horizontal="left" wrapText="1"/>
    </xf>
    <xf numFmtId="0" fontId="0" fillId="0" borderId="6" xfId="0" applyBorder="1" applyAlignment="1">
      <alignment horizontal="center"/>
    </xf>
    <xf numFmtId="0" fontId="8" fillId="0" borderId="14" xfId="0" applyFont="1" applyBorder="1" applyAlignment="1">
      <alignment horizontal="center" wrapText="1"/>
    </xf>
    <xf numFmtId="0" fontId="8" fillId="0" borderId="11" xfId="0" applyFont="1" applyBorder="1" applyAlignment="1">
      <alignment horizontal="center" wrapText="1"/>
    </xf>
    <xf numFmtId="0" fontId="5" fillId="0" borderId="0" xfId="0" applyFont="1" applyAlignment="1">
      <alignment wrapText="1"/>
    </xf>
    <xf numFmtId="0" fontId="0" fillId="0" borderId="0" xfId="0" applyAlignment="1">
      <alignment wrapText="1"/>
    </xf>
  </cellXfs>
  <cellStyles count="2">
    <cellStyle name="Hyperlink" xfId="1" builtinId="8"/>
    <cellStyle name="Normal" xfId="0" builtinId="0"/>
  </cellStyles>
  <dxfs count="369">
    <dxf>
      <font>
        <color rgb="FF9C0006"/>
      </font>
      <fill>
        <patternFill>
          <bgColor rgb="FFFFC7CE"/>
        </patternFill>
      </fill>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sz val="12"/>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sz val="12"/>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font>
        <b val="0"/>
        <sz val="12"/>
        <name val="Arial"/>
        <family val="2"/>
        <scheme val="none"/>
      </font>
      <numFmt numFmtId="0" formatCode="General"/>
      <fill>
        <patternFill patternType="none">
          <fgColor indexed="64"/>
          <bgColor indexed="65"/>
        </patternFill>
      </fill>
    </dxf>
    <dxf>
      <font>
        <b val="0"/>
      </font>
      <fill>
        <patternFill patternType="none">
          <fgColor indexed="64"/>
          <bgColor indexed="65"/>
        </patternFill>
      </fill>
    </dxf>
    <dxf>
      <font>
        <b val="0"/>
        <family val="2"/>
      </font>
    </dxf>
    <dxf>
      <font>
        <b val="0"/>
        <family val="2"/>
      </font>
      <fill>
        <patternFill patternType="none">
          <fgColor indexed="64"/>
          <bgColor indexed="65"/>
        </patternFill>
      </fill>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numFmt numFmtId="2" formatCode="0.00"/>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protection locked="0" hidden="0"/>
    </dxf>
    <dxf>
      <font>
        <strike val="0"/>
        <outline val="0"/>
        <shadow val="0"/>
        <u val="none"/>
        <vertAlign val="baseline"/>
        <sz val="11"/>
      </font>
      <alignment horizontal="center" vertical="bottom" textRotation="0" wrapText="0" indent="0" justifyLastLine="0" shrinkToFit="0" readingOrder="0"/>
    </dxf>
    <dxf>
      <font>
        <strike val="0"/>
        <outline val="0"/>
        <shadow val="0"/>
        <u val="none"/>
        <vertAlign val="baseline"/>
        <sz val="11"/>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66CD4D-8934-4623-B0CF-2F56F480C819}" name="Table3" displayName="Table3" ref="A2:I9" totalsRowShown="0" headerRowDxfId="368" dataDxfId="367">
  <autoFilter ref="A2:I9" xr:uid="{6066CD4D-8934-4623-B0CF-2F56F480C819}"/>
  <tableColumns count="9">
    <tableColumn id="1" xr3:uid="{EB3DCE66-8A86-4552-9324-794EA2C66F7B}" name="Course ID" dataDxfId="366"/>
    <tableColumn id="2" xr3:uid="{0428D359-2604-453F-A6D9-994518B2B2ED}" name="Topic" dataDxfId="365">
      <calculatedColumnFormula>LOOKUP($A3,$AE:$AE,AF:AF)</calculatedColumnFormula>
    </tableColumn>
    <tableColumn id="3" xr3:uid="{3A1394B9-CD9D-4EB6-B34E-A281C3AD0453}" name="Approval #" dataDxfId="364">
      <calculatedColumnFormula>LOOKUP($A3,$AE:$AE,AG:AG)</calculatedColumnFormula>
    </tableColumn>
    <tableColumn id="4" xr3:uid="{6F79EC51-0960-4CC8-A595-D76194AEBFBE}" name="Max" dataDxfId="363">
      <calculatedColumnFormula>LOOKUP($A3,$AE:$AE,AH:AH)</calculatedColumnFormula>
    </tableColumn>
    <tableColumn id="5" xr3:uid="{6243066C-8314-4805-ABED-BDAAED973ACF}" name="W" dataDxfId="362">
      <calculatedColumnFormula>LOOKUP($A3,$AE:$AE,AI:AI)</calculatedColumnFormula>
    </tableColumn>
    <tableColumn id="6" xr3:uid="{4ABF92E7-7485-48B8-AB45-9A308EB1FC0C}" name="WW" dataDxfId="361">
      <calculatedColumnFormula>LOOKUP($A3,$AE:$AE,AJ:AJ)</calculatedColumnFormula>
    </tableColumn>
    <tableColumn id="7" xr3:uid="{ADC54B71-B573-4D37-B00D-D9D61B7B074C}" name="I" dataDxfId="360">
      <calculatedColumnFormula>LOOKUP($A3,$AE:$AE,AK:AK)</calculatedColumnFormula>
    </tableColumn>
    <tableColumn id="8" xr3:uid="{CF691DF7-3E95-4F4D-8129-C69BE978F653}" name="D" dataDxfId="359">
      <calculatedColumnFormula>LOOKUP($A3,$AE:$AE,AL:AL)</calculatedColumnFormula>
    </tableColumn>
    <tableColumn id="9" xr3:uid="{184D0404-3AFE-4445-B64D-705C2214AF92}" name="C" dataDxfId="358">
      <calculatedColumnFormula>LOOKUP($A3,$AE:$AE,AM:AM)</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E00112D-811F-4740-9FA2-C0F3C4D5ECBC}" name="Table39101217" displayName="Table39101217" ref="A94:I110" totalsRowShown="0" headerRowDxfId="266" dataDxfId="265">
  <autoFilter ref="A94:I110" xr:uid="{CE00112D-811F-4740-9FA2-C0F3C4D5ECBC}"/>
  <tableColumns count="9">
    <tableColumn id="1" xr3:uid="{F795602E-66D8-4973-A4E2-9A0B02FA76A4}" name="Course ID" dataDxfId="264"/>
    <tableColumn id="2" xr3:uid="{7A2836A8-075D-42BC-8CAB-F435778EABE9}" name="Topic" dataDxfId="263">
      <calculatedColumnFormula>LOOKUP($A95,$AE:$AE,AF:AF)</calculatedColumnFormula>
    </tableColumn>
    <tableColumn id="3" xr3:uid="{33354F00-A816-4981-A51C-F1885C52822C}" name="Approval #" dataDxfId="262">
      <calculatedColumnFormula>LOOKUP($A95,$AE:$AE,AG:AG)</calculatedColumnFormula>
    </tableColumn>
    <tableColumn id="4" xr3:uid="{4FE820E0-D0A8-430E-ACB6-8944491F675D}" name="Max" dataDxfId="261">
      <calculatedColumnFormula>LOOKUP($A95,$AE:$AE,AH:AH)</calculatedColumnFormula>
    </tableColumn>
    <tableColumn id="5" xr3:uid="{3C038B3D-717C-43BD-9620-F311C9B27FF5}" name="W" dataDxfId="260">
      <calculatedColumnFormula>LOOKUP($A95,$AE:$AE,AI:AI)</calculatedColumnFormula>
    </tableColumn>
    <tableColumn id="6" xr3:uid="{1808CC67-7DDB-47F0-9593-6443CFBE5E05}" name="WW" dataDxfId="259">
      <calculatedColumnFormula>LOOKUP($A95,$AE:$AE,AJ:AJ)</calculatedColumnFormula>
    </tableColumn>
    <tableColumn id="7" xr3:uid="{2D6E5C46-FFFE-4893-B2DF-6CC4EE5BA7A8}" name="I" dataDxfId="258">
      <calculatedColumnFormula>LOOKUP($A95,$AE:$AE,AK:AK)</calculatedColumnFormula>
    </tableColumn>
    <tableColumn id="8" xr3:uid="{2A2C91C0-922D-4465-ACDF-C3742FAB2741}" name="D" dataDxfId="257">
      <calculatedColumnFormula>LOOKUP($A95,$AE:$AE,AL:AL)</calculatedColumnFormula>
    </tableColumn>
    <tableColumn id="9" xr3:uid="{8527DD60-B35E-4898-97F7-1D1700B4BECA}" name="C" dataDxfId="256">
      <calculatedColumnFormula>LOOKUP($A95,$AE:$AE,AM:AM)</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EB706C4-8B89-4850-BDD8-AA2F14A75DC6}" name="Table39101218" displayName="Table39101218" ref="A114:I132" totalsRowShown="0" headerRowDxfId="255" dataDxfId="254">
  <autoFilter ref="A114:I132" xr:uid="{AEB706C4-8B89-4850-BDD8-AA2F14A75DC6}"/>
  <tableColumns count="9">
    <tableColumn id="1" xr3:uid="{AD3ED5FF-2A59-4EEE-A568-A5DE4A40B627}" name="Course ID" dataDxfId="253"/>
    <tableColumn id="2" xr3:uid="{62B37778-92B5-416D-90DA-7D80DDC6917A}" name="Topic" dataDxfId="252">
      <calculatedColumnFormula>LOOKUP($A115,$AE:$AE,AF:AF)</calculatedColumnFormula>
    </tableColumn>
    <tableColumn id="3" xr3:uid="{9145E15F-0630-41AA-8BA2-D7816DA792F4}" name="Approval #" dataDxfId="251">
      <calculatedColumnFormula>LOOKUP($A115,$AE:$AE,AG:AG)</calculatedColumnFormula>
    </tableColumn>
    <tableColumn id="4" xr3:uid="{C457CECA-1AB2-4369-A847-D406D5FB59A5}" name="Max" dataDxfId="250">
      <calculatedColumnFormula>LOOKUP($A115,$AE:$AE,AH:AH)</calculatedColumnFormula>
    </tableColumn>
    <tableColumn id="5" xr3:uid="{E59E2638-F5D7-4E9B-B620-6BC7ED61FEF1}" name="W" dataDxfId="249">
      <calculatedColumnFormula>LOOKUP($A115,$AE:$AE,AI:AI)</calculatedColumnFormula>
    </tableColumn>
    <tableColumn id="6" xr3:uid="{33501B0E-2C3C-4B11-B0ED-C25141DF5E20}" name="WW" dataDxfId="248">
      <calculatedColumnFormula>LOOKUP($A115,$AE:$AE,AJ:AJ)</calculatedColumnFormula>
    </tableColumn>
    <tableColumn id="7" xr3:uid="{F807D98D-3137-4E03-A637-E1B405C9D53E}" name="I" dataDxfId="247">
      <calculatedColumnFormula>LOOKUP($A115,$AE:$AE,AK:AK)</calculatedColumnFormula>
    </tableColumn>
    <tableColumn id="8" xr3:uid="{3A210773-8A59-4FCE-8B68-0D6CCA231623}" name="D" dataDxfId="246">
      <calculatedColumnFormula>LOOKUP($A115,$AE:$AE,AL:AL)</calculatedColumnFormula>
    </tableColumn>
    <tableColumn id="9" xr3:uid="{94DA6351-5735-4DEC-8069-CCD2A9FE0119}" name="C" dataDxfId="245">
      <calculatedColumnFormula>LOOKUP($A115,$AE:$AE,AM:AM)</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CECC111-206B-43E1-9E43-DBBFAB0680FD}" name="Table3910121820" displayName="Table3910121820" ref="A136:I147" totalsRowShown="0" headerRowDxfId="244" dataDxfId="243">
  <autoFilter ref="A136:I147" xr:uid="{1CECC111-206B-43E1-9E43-DBBFAB0680FD}"/>
  <tableColumns count="9">
    <tableColumn id="1" xr3:uid="{2BA7ECC8-6C3D-4015-B9AB-BDACD5349DF3}" name="Course ID" dataDxfId="242"/>
    <tableColumn id="2" xr3:uid="{8E1947F1-D1EA-4052-9537-9F1B2EC37424}" name="Topic" dataDxfId="241">
      <calculatedColumnFormula>LOOKUP($A137,$AE:$AE,AF:AF)</calculatedColumnFormula>
    </tableColumn>
    <tableColumn id="3" xr3:uid="{364A5E07-CFC2-46FB-97EF-1770D31104B2}" name="Approval #" dataDxfId="240">
      <calculatedColumnFormula>LOOKUP($A137,$AE:$AE,AG:AG)</calculatedColumnFormula>
    </tableColumn>
    <tableColumn id="4" xr3:uid="{4F7997F2-F4FF-426A-BB54-D7BCD64A37B5}" name="Max" dataDxfId="239">
      <calculatedColumnFormula>LOOKUP($A137,$AE:$AE,AH:AH)</calculatedColumnFormula>
    </tableColumn>
    <tableColumn id="5" xr3:uid="{586FC1FB-61CE-4949-9918-C033501CD664}" name="W" dataDxfId="238">
      <calculatedColumnFormula>LOOKUP($A137,$AE:$AE,AI:AI)</calculatedColumnFormula>
    </tableColumn>
    <tableColumn id="6" xr3:uid="{F752F4DB-AF09-418E-AE8F-286EDD45423C}" name="WW" dataDxfId="237">
      <calculatedColumnFormula>LOOKUP($A137,$AE:$AE,AJ:AJ)</calculatedColumnFormula>
    </tableColumn>
    <tableColumn id="7" xr3:uid="{28C8E4A0-1952-4832-80C8-31E287DCD25D}" name="I" dataDxfId="236">
      <calculatedColumnFormula>LOOKUP($A137,$AE:$AE,AK:AK)</calculatedColumnFormula>
    </tableColumn>
    <tableColumn id="8" xr3:uid="{4512761B-5ABE-499C-92D0-409BF3C7815F}" name="D" dataDxfId="235">
      <calculatedColumnFormula>LOOKUP($A137,$AE:$AE,AL:AL)</calculatedColumnFormula>
    </tableColumn>
    <tableColumn id="9" xr3:uid="{8B94B155-DE60-40B8-AF23-0FCEDFECE589}" name="C" dataDxfId="234">
      <calculatedColumnFormula>LOOKUP($A137,$AE:$AE,AM:AM)</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5202658-98AF-4876-8924-D8FD76A01232}" name="Table3910121821" displayName="Table3910121821" ref="A151:I158" totalsRowShown="0" headerRowDxfId="233" dataDxfId="232">
  <autoFilter ref="A151:I158" xr:uid="{15202658-98AF-4876-8924-D8FD76A01232}"/>
  <tableColumns count="9">
    <tableColumn id="1" xr3:uid="{711A1EEB-3965-4057-A539-D8978F4AE227}" name="Course ID" dataDxfId="231"/>
    <tableColumn id="2" xr3:uid="{CC2A0644-9CB1-46D3-9AAF-F012E7C8D652}" name="Topic" dataDxfId="230">
      <calculatedColumnFormula>LOOKUP($A152,$AE:$AE,AF:AF)</calculatedColumnFormula>
    </tableColumn>
    <tableColumn id="3" xr3:uid="{C7BC0A6A-2B5B-440F-A802-81B419AA2F01}" name="Approval #" dataDxfId="229">
      <calculatedColumnFormula>LOOKUP($A152,$AE:$AE,AG:AG)</calculatedColumnFormula>
    </tableColumn>
    <tableColumn id="4" xr3:uid="{877DED70-7C12-4401-80E6-5FB0873EC967}" name="Max" dataDxfId="228">
      <calculatedColumnFormula>LOOKUP($A152,$AE:$AE,AH:AH)</calculatedColumnFormula>
    </tableColumn>
    <tableColumn id="5" xr3:uid="{41034C37-7363-4A82-BA71-C40075541795}" name="W" dataDxfId="227">
      <calculatedColumnFormula>LOOKUP($A152,$AE:$AE,AI:AI)</calculatedColumnFormula>
    </tableColumn>
    <tableColumn id="6" xr3:uid="{6424D0AC-536E-4A71-B00A-192816983F28}" name="WW" dataDxfId="226">
      <calculatedColumnFormula>LOOKUP($A152,$AE:$AE,AJ:AJ)</calculatedColumnFormula>
    </tableColumn>
    <tableColumn id="7" xr3:uid="{EC7BA7D8-8507-44CB-8EE3-3B59C808ADE1}" name="I" dataDxfId="225">
      <calculatedColumnFormula>LOOKUP($A152,$AE:$AE,AK:AK)</calculatedColumnFormula>
    </tableColumn>
    <tableColumn id="8" xr3:uid="{687FB065-279F-4C32-BF1F-C7699D4FF0E8}" name="D" dataDxfId="224">
      <calculatedColumnFormula>LOOKUP($A152,$AE:$AE,AL:AL)</calculatedColumnFormula>
    </tableColumn>
    <tableColumn id="9" xr3:uid="{3FBCE845-E331-4E3C-9898-5C55FB4B2074}" name="C" dataDxfId="223">
      <calculatedColumnFormula>LOOKUP($A152,$AE:$AE,AM:AM)</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210C060-B7A6-4BC4-93D4-C6216EC7ECF1}" name="Table391012182123" displayName="Table391012182123" ref="A162:I173" totalsRowShown="0" headerRowDxfId="222" dataDxfId="221">
  <autoFilter ref="A162:I173" xr:uid="{8210C060-B7A6-4BC4-93D4-C6216EC7ECF1}"/>
  <tableColumns count="9">
    <tableColumn id="1" xr3:uid="{E73668D5-5DCC-4ED1-80DD-E437B18087D8}" name="Course ID" dataDxfId="220"/>
    <tableColumn id="2" xr3:uid="{5B0B8AAE-0536-4E77-94A0-DD6C557C8A34}" name="Topic" dataDxfId="219">
      <calculatedColumnFormula>LOOKUP($A163,$AE:$AE,AF:AF)</calculatedColumnFormula>
    </tableColumn>
    <tableColumn id="3" xr3:uid="{64970C21-357B-46CB-AC42-DDBC51A310D3}" name="Approval #" dataDxfId="218">
      <calculatedColumnFormula>LOOKUP($A163,$AE:$AE,AG:AG)</calculatedColumnFormula>
    </tableColumn>
    <tableColumn id="4" xr3:uid="{40270242-0032-484C-9948-F33FA154FD98}" name="Max" dataDxfId="217">
      <calculatedColumnFormula>LOOKUP($A163,$AE:$AE,AH:AH)</calculatedColumnFormula>
    </tableColumn>
    <tableColumn id="5" xr3:uid="{0F375EDC-8072-4792-BE81-EF98AEBCBE36}" name="W" dataDxfId="216">
      <calculatedColumnFormula>LOOKUP($A163,$AE:$AE,AI:AI)</calculatedColumnFormula>
    </tableColumn>
    <tableColumn id="6" xr3:uid="{DF01A118-C04C-41D1-BEB9-8D8A06AE921F}" name="WW" dataDxfId="215">
      <calculatedColumnFormula>LOOKUP($A163,$AE:$AE,AJ:AJ)</calculatedColumnFormula>
    </tableColumn>
    <tableColumn id="7" xr3:uid="{509B8FF4-0FEB-4EAC-A579-2A4DD203DFFB}" name="I" dataDxfId="214">
      <calculatedColumnFormula>LOOKUP($A163,$AE:$AE,AK:AK)</calculatedColumnFormula>
    </tableColumn>
    <tableColumn id="8" xr3:uid="{92935251-7D0B-4F1F-B889-F42CDCC08BF1}" name="D" dataDxfId="213">
      <calculatedColumnFormula>LOOKUP($A163,$AE:$AE,AL:AL)</calculatedColumnFormula>
    </tableColumn>
    <tableColumn id="9" xr3:uid="{69DE6EF7-382A-4DF8-80AD-426FB2A91BB6}" name="C" dataDxfId="212">
      <calculatedColumnFormula>LOOKUP($A163,$AE:$AE,AM:AM)</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D1AD27C-3EB9-4225-88F8-D74670B40D1A}" name="Table391012182125" displayName="Table391012182125" ref="A177:I188" totalsRowShown="0" headerRowDxfId="211" dataDxfId="210">
  <autoFilter ref="A177:I188" xr:uid="{3D1AD27C-3EB9-4225-88F8-D74670B40D1A}"/>
  <tableColumns count="9">
    <tableColumn id="1" xr3:uid="{4639716A-5237-4241-9E8A-7A84F6D6F0FC}" name="Course ID" dataDxfId="209"/>
    <tableColumn id="2" xr3:uid="{B2905BE1-F12A-43F0-A960-25CF6567B5B1}" name="Topic" dataDxfId="208">
      <calculatedColumnFormula>LOOKUP($A178,$AE:$AE,AF:AF)</calculatedColumnFormula>
    </tableColumn>
    <tableColumn id="3" xr3:uid="{EC7EC7F1-FE51-47F8-BE86-103A77B839E6}" name="Approval #" dataDxfId="207">
      <calculatedColumnFormula>LOOKUP($A178,$AE:$AE,AG:AG)</calculatedColumnFormula>
    </tableColumn>
    <tableColumn id="4" xr3:uid="{016D4AAC-DA49-4BE6-B11D-6CA85804735B}" name="Max" dataDxfId="206">
      <calculatedColumnFormula>LOOKUP($A178,$AE:$AE,AH:AH)</calculatedColumnFormula>
    </tableColumn>
    <tableColumn id="5" xr3:uid="{F6370DAE-17A2-4560-85D8-5EAF0EF7F763}" name="W" dataDxfId="205">
      <calculatedColumnFormula>LOOKUP($A178,$AE:$AE,AI:AI)</calculatedColumnFormula>
    </tableColumn>
    <tableColumn id="6" xr3:uid="{3C9C08B6-B9A1-4F2B-B1F7-BD4A8F6285FD}" name="WW" dataDxfId="204">
      <calculatedColumnFormula>LOOKUP($A178,$AE:$AE,AJ:AJ)</calculatedColumnFormula>
    </tableColumn>
    <tableColumn id="7" xr3:uid="{CE43E083-6080-4CB5-99F3-E06769312130}" name="I" dataDxfId="203">
      <calculatedColumnFormula>LOOKUP($A178,$AE:$AE,AK:AK)</calculatedColumnFormula>
    </tableColumn>
    <tableColumn id="8" xr3:uid="{81E01CC1-9C87-4F03-A28C-B75F65A2C433}" name="D" dataDxfId="202">
      <calculatedColumnFormula>LOOKUP($A178,$AE:$AE,AL:AL)</calculatedColumnFormula>
    </tableColumn>
    <tableColumn id="9" xr3:uid="{B980E0FC-B7A9-4AD7-8B6A-16BE3FDA9C32}" name="C" dataDxfId="201">
      <calculatedColumnFormula>LOOKUP($A178,$AE:$AE,AM:AM)</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B98A08A-8876-4B34-ADEB-E522482546B6}" name="Table391012182126" displayName="Table391012182126" ref="A192:I206" totalsRowShown="0" headerRowDxfId="200" dataDxfId="199">
  <autoFilter ref="A192:I206" xr:uid="{AB98A08A-8876-4B34-ADEB-E522482546B6}"/>
  <tableColumns count="9">
    <tableColumn id="1" xr3:uid="{65D9E6B1-9145-421F-BE08-58C5D6A60501}" name="Course ID" dataDxfId="198"/>
    <tableColumn id="2" xr3:uid="{21B2B284-49E5-4D08-B469-6BDDFD4AFEAD}" name="Topic" dataDxfId="197">
      <calculatedColumnFormula>LOOKUP($A193,$AE:$AE,AF:AF)</calculatedColumnFormula>
    </tableColumn>
    <tableColumn id="3" xr3:uid="{69BD301B-4A14-43B7-ABF4-8488D0298BCD}" name="Approval #" dataDxfId="196">
      <calculatedColumnFormula>LOOKUP($A193,$AE:$AE,AG:AG)</calculatedColumnFormula>
    </tableColumn>
    <tableColumn id="4" xr3:uid="{B39D528B-EE1D-4A21-BCF8-E08C263E8D9E}" name="Max" dataDxfId="195">
      <calculatedColumnFormula>LOOKUP($A193,$AE:$AE,AH:AH)</calculatedColumnFormula>
    </tableColumn>
    <tableColumn id="5" xr3:uid="{9B37E5B2-AFCE-4D0D-9670-0C66E83543C0}" name="W" dataDxfId="194">
      <calculatedColumnFormula>LOOKUP($A193,$AE:$AE,AI:AI)</calculatedColumnFormula>
    </tableColumn>
    <tableColumn id="6" xr3:uid="{0A8FE1A4-500D-44A2-AD6C-342C1DD7E685}" name="WW" dataDxfId="193">
      <calculatedColumnFormula>LOOKUP($A193,$AE:$AE,AJ:AJ)</calculatedColumnFormula>
    </tableColumn>
    <tableColumn id="7" xr3:uid="{1CC0C4C1-4628-49F9-A4B7-937EAB27C314}" name="I" dataDxfId="192">
      <calculatedColumnFormula>LOOKUP($A193,$AE:$AE,AK:AK)</calculatedColumnFormula>
    </tableColumn>
    <tableColumn id="8" xr3:uid="{EA81BE43-FAD9-459E-87A4-4CEC15215F69}" name="D" dataDxfId="191">
      <calculatedColumnFormula>LOOKUP($A193,$AE:$AE,AL:AL)</calculatedColumnFormula>
    </tableColumn>
    <tableColumn id="9" xr3:uid="{71B3EB0A-6C11-45F9-AADE-74F6D6175A03}" name="C" dataDxfId="190">
      <calculatedColumnFormula>LOOKUP($A193,$AE:$AE,AM:AM)</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89ECA79-8B9F-4975-857D-96A54AB7EA4B}" name="Table39101218212628" displayName="Table39101218212628" ref="A210:I219" totalsRowShown="0" headerRowDxfId="189" dataDxfId="188">
  <autoFilter ref="A210:I219" xr:uid="{289ECA79-8B9F-4975-857D-96A54AB7EA4B}"/>
  <tableColumns count="9">
    <tableColumn id="1" xr3:uid="{61D18938-520E-470F-A64A-82DE91C6D50D}" name="Course ID" dataDxfId="187"/>
    <tableColumn id="2" xr3:uid="{2B6575E7-520F-41D7-9D9E-DD1A3EFBA9A5}" name="Topic" dataDxfId="186">
      <calculatedColumnFormula>LOOKUP($A211,$AE:$AE,AF:AF)</calculatedColumnFormula>
    </tableColumn>
    <tableColumn id="3" xr3:uid="{E79F3454-AB18-4988-83E4-7B3F13C8A7E3}" name="Approval #" dataDxfId="185">
      <calculatedColumnFormula>LOOKUP($A211,$AE:$AE,AG:AG)</calculatedColumnFormula>
    </tableColumn>
    <tableColumn id="4" xr3:uid="{38BD7E53-9EF9-4173-8DAF-83A41D7BECBB}" name="Max" dataDxfId="184">
      <calculatedColumnFormula>LOOKUP($A211,$AE:$AE,AH:AH)</calculatedColumnFormula>
    </tableColumn>
    <tableColumn id="5" xr3:uid="{3A215942-DD51-47AD-8EBC-7CE62E4A2E10}" name="W" dataDxfId="183">
      <calculatedColumnFormula>LOOKUP($A211,$AE:$AE,AI:AI)</calculatedColumnFormula>
    </tableColumn>
    <tableColumn id="6" xr3:uid="{9BC7BCB9-1E73-4893-91F2-47030C4FFA20}" name="WW" dataDxfId="182">
      <calculatedColumnFormula>LOOKUP($A211,$AE:$AE,AJ:AJ)</calculatedColumnFormula>
    </tableColumn>
    <tableColumn id="7" xr3:uid="{656D87EA-EAA1-415A-9A88-AA0CDCA0ACE2}" name="I" dataDxfId="181">
      <calculatedColumnFormula>LOOKUP($A211,$AE:$AE,AK:AK)</calculatedColumnFormula>
    </tableColumn>
    <tableColumn id="8" xr3:uid="{AD73D848-A348-499D-82A7-C56B4EAEA2C7}" name="D" dataDxfId="180">
      <calculatedColumnFormula>LOOKUP($A211,$AE:$AE,AL:AL)</calculatedColumnFormula>
    </tableColumn>
    <tableColumn id="9" xr3:uid="{26F2A489-135D-4998-94AF-EFD707E3ABE9}" name="C" dataDxfId="179">
      <calculatedColumnFormula>LOOKUP($A211,$AE:$AE,AM:AM)</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D0211FC-D1D8-4820-85B7-62D57FCE637D}" name="Table3910121821262829" displayName="Table3910121821262829" ref="A223:I229" totalsRowShown="0" headerRowDxfId="178" dataDxfId="177">
  <autoFilter ref="A223:I229" xr:uid="{3D0211FC-D1D8-4820-85B7-62D57FCE637D}"/>
  <tableColumns count="9">
    <tableColumn id="1" xr3:uid="{7273F4D1-5CD4-4CEE-B376-5572F2115B16}" name="Course ID" dataDxfId="176"/>
    <tableColumn id="2" xr3:uid="{B9CC5CA6-8989-4819-9160-2A79AB094800}" name="Topic" dataDxfId="175">
      <calculatedColumnFormula>LOOKUP($A224,$AE:$AE,AF:AF)</calculatedColumnFormula>
    </tableColumn>
    <tableColumn id="3" xr3:uid="{C1A34BCB-FC48-4B27-9521-855CCAB97AF8}" name="Approval #" dataDxfId="174">
      <calculatedColumnFormula>LOOKUP($A224,$AE:$AE,AG:AG)</calculatedColumnFormula>
    </tableColumn>
    <tableColumn id="4" xr3:uid="{73BFF588-C19C-4B4D-937C-1DF57CFC209B}" name="Max" dataDxfId="173">
      <calculatedColumnFormula>LOOKUP($A224,$AE:$AE,AH:AH)</calculatedColumnFormula>
    </tableColumn>
    <tableColumn id="5" xr3:uid="{6098F85D-4423-4572-9EEE-5E93452EBCF2}" name="W" dataDxfId="172">
      <calculatedColumnFormula>LOOKUP($A224,$AE:$AE,AI:AI)</calculatedColumnFormula>
    </tableColumn>
    <tableColumn id="6" xr3:uid="{2F720474-6BE7-4558-A122-BA1635BF45F6}" name="WW" dataDxfId="171">
      <calculatedColumnFormula>LOOKUP($A224,$AE:$AE,AJ:AJ)</calculatedColumnFormula>
    </tableColumn>
    <tableColumn id="7" xr3:uid="{ABF1FD83-528B-4DF6-88A0-34A20DC7CAC1}" name="I" dataDxfId="170">
      <calculatedColumnFormula>LOOKUP($A224,$AE:$AE,AK:AK)</calculatedColumnFormula>
    </tableColumn>
    <tableColumn id="8" xr3:uid="{D32723FE-5EDD-4F96-8407-C6348BE04323}" name="D" dataDxfId="169">
      <calculatedColumnFormula>LOOKUP($A224,$AE:$AE,AL:AL)</calculatedColumnFormula>
    </tableColumn>
    <tableColumn id="9" xr3:uid="{CED8B237-EE9E-4695-9325-7A1B1B923000}" name="C" dataDxfId="168">
      <calculatedColumnFormula>LOOKUP($A224,$AE:$AE,AM:AM)</calculatedColumnFormula>
    </tableColum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DFA66EB-D0B0-488C-9AC8-B090435E5404}" name="Table39101218212631" displayName="Table39101218212631" ref="A233:I239" totalsRowShown="0" headerRowDxfId="167" dataDxfId="166">
  <autoFilter ref="A233:I239" xr:uid="{ADFA66EB-D0B0-488C-9AC8-B090435E5404}"/>
  <tableColumns count="9">
    <tableColumn id="1" xr3:uid="{8205D64B-2491-4BFF-AF52-3C0BFF91E465}" name="Course ID" dataDxfId="165"/>
    <tableColumn id="2" xr3:uid="{929EAA8D-8390-40F1-B123-28E3FD13E361}" name="Topic" dataDxfId="164">
      <calculatedColumnFormula>LOOKUP($A234,$AE:$AE,AF:AF)</calculatedColumnFormula>
    </tableColumn>
    <tableColumn id="3" xr3:uid="{0254AF8A-0297-457D-8707-976BF9F31169}" name="Approval #" dataDxfId="163">
      <calculatedColumnFormula>LOOKUP($A234,$AE:$AE,AG:AG)</calculatedColumnFormula>
    </tableColumn>
    <tableColumn id="4" xr3:uid="{99313466-A117-48B5-9565-DA5EF3C0D1FD}" name="Max" dataDxfId="162">
      <calculatedColumnFormula>LOOKUP($A234,$AE:$AE,AH:AH)</calculatedColumnFormula>
    </tableColumn>
    <tableColumn id="5" xr3:uid="{153AC284-5934-49EC-8363-9B4C5007BA8C}" name="W" dataDxfId="161">
      <calculatedColumnFormula>LOOKUP($A234,$AE:$AE,AI:AI)</calculatedColumnFormula>
    </tableColumn>
    <tableColumn id="6" xr3:uid="{597E23F2-ED0F-4E07-A917-90E2BE2F5D11}" name="WW" dataDxfId="160">
      <calculatedColumnFormula>LOOKUP($A234,$AE:$AE,AJ:AJ)</calculatedColumnFormula>
    </tableColumn>
    <tableColumn id="7" xr3:uid="{358FD123-BFE2-4F33-B9CA-5DFEBDD8C7FC}" name="I" dataDxfId="159">
      <calculatedColumnFormula>LOOKUP($A234,$AE:$AE,AK:AK)</calculatedColumnFormula>
    </tableColumn>
    <tableColumn id="8" xr3:uid="{64050F7D-845A-4D47-A35B-769A550699BB}" name="D" dataDxfId="158">
      <calculatedColumnFormula>LOOKUP($A234,$AE:$AE,AL:AL)</calculatedColumnFormula>
    </tableColumn>
    <tableColumn id="9" xr3:uid="{625AE803-B8C6-4340-9189-9A86D764D18A}" name="C" dataDxfId="157">
      <calculatedColumnFormula>LOOKUP($A234,$AE:$AE,AM:AM)</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2D275E-9DDE-4AE7-948E-8AAFDEDA79AF}" name="Table4" displayName="Table4" ref="AE1:AM93" totalsRowShown="0" headerRowDxfId="357" dataDxfId="355" headerRowBorderDxfId="356" tableBorderDxfId="354" totalsRowBorderDxfId="353">
  <autoFilter ref="AE1:AM93" xr:uid="{C32D275E-9DDE-4AE7-948E-8AAFDEDA79AF}"/>
  <tableColumns count="9">
    <tableColumn id="1" xr3:uid="{30E529BE-8E1A-4D79-8567-8F1504B5A49E}" name="Course ID" dataDxfId="352"/>
    <tableColumn id="2" xr3:uid="{36FF6148-D28A-47A7-9A41-F7E659BB5E78}" name="Topic" dataDxfId="351"/>
    <tableColumn id="3" xr3:uid="{8B0DCE68-1AA7-4293-A04A-0DD1CD3E1181}" name="Approval" dataDxfId="350"/>
    <tableColumn id="4" xr3:uid="{B3519329-F5C3-4EBA-8046-8ED953BF88EB}" name="Max" dataDxfId="349"/>
    <tableColumn id="5" xr3:uid="{0CB92596-F569-4F5C-96C2-DB830D8695C4}" name="W" dataDxfId="348"/>
    <tableColumn id="6" xr3:uid="{85D7B941-3A9F-46C2-B94E-09C6D6892FA9}" name="WW" dataDxfId="347"/>
    <tableColumn id="7" xr3:uid="{5501ABAC-9BE8-4C75-BC96-697E5D3B376B}" name="I" dataDxfId="346"/>
    <tableColumn id="8" xr3:uid="{7491BADF-9132-495C-9124-56C72E162654}" name="D" dataDxfId="345"/>
    <tableColumn id="9" xr3:uid="{74EA7F53-3171-4AB0-94F3-FCFA953E66F0}" name="C" dataDxfId="344"/>
  </tableColumns>
  <tableStyleInfo name="TableStyleLight1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40D4E16-6B73-45C6-B567-AAEC46BB464E}" name="Table3910121821263133" displayName="Table3910121821263133" ref="A243:I254" totalsRowShown="0" headerRowDxfId="156" dataDxfId="155">
  <autoFilter ref="A243:I254" xr:uid="{340D4E16-6B73-45C6-B567-AAEC46BB464E}"/>
  <tableColumns count="9">
    <tableColumn id="1" xr3:uid="{DBA4661D-C8F6-4B1A-895D-0C375872F9AE}" name="Course ID" dataDxfId="154"/>
    <tableColumn id="2" xr3:uid="{483F9B12-5CAE-403B-94A1-4976716C20A0}" name="Topic" dataDxfId="153">
      <calculatedColumnFormula>LOOKUP($A244,$AE:$AE,AF:AF)</calculatedColumnFormula>
    </tableColumn>
    <tableColumn id="3" xr3:uid="{349AA62C-24F9-43E5-AABA-1AFF21A921BA}" name="Approval #" dataDxfId="152">
      <calculatedColumnFormula>LOOKUP($A244,$AE:$AE,AG:AG)</calculatedColumnFormula>
    </tableColumn>
    <tableColumn id="4" xr3:uid="{BB2126A4-31E6-4857-A622-E4D217207B35}" name="Max" dataDxfId="151">
      <calculatedColumnFormula>LOOKUP($A244,$AE:$AE,AH:AH)</calculatedColumnFormula>
    </tableColumn>
    <tableColumn id="5" xr3:uid="{F8F0D74F-C2EB-41CA-867E-6B0E9012ABD7}" name="W" dataDxfId="150">
      <calculatedColumnFormula>LOOKUP($A244,$AE:$AE,AI:AI)</calculatedColumnFormula>
    </tableColumn>
    <tableColumn id="6" xr3:uid="{54D6749C-FE1A-4C77-BB45-2E56D8902FBF}" name="WW" dataDxfId="149">
      <calculatedColumnFormula>LOOKUP($A244,$AE:$AE,AJ:AJ)</calculatedColumnFormula>
    </tableColumn>
    <tableColumn id="7" xr3:uid="{FE7721F1-F1FB-4762-8967-31C6BB007058}" name="I" dataDxfId="148">
      <calculatedColumnFormula>LOOKUP($A244,$AE:$AE,AK:AK)</calculatedColumnFormula>
    </tableColumn>
    <tableColumn id="8" xr3:uid="{27466A1A-1E82-4628-86C7-696E70F2FD36}" name="D" dataDxfId="147">
      <calculatedColumnFormula>LOOKUP($A244,$AE:$AE,AL:AL)</calculatedColumnFormula>
    </tableColumn>
    <tableColumn id="9" xr3:uid="{D17F68AF-3B45-4528-90BC-1F7A25294115}" name="C" dataDxfId="146">
      <calculatedColumnFormula>LOOKUP($A244,$AE:$AE,AM:AM)</calculatedColumnFormula>
    </tableColum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761B441-218F-437A-8211-E5994C354D25}" name="Table391012182126313334" displayName="Table391012182126313334" ref="A258:I272" totalsRowShown="0" headerRowDxfId="145" dataDxfId="144">
  <autoFilter ref="A258:I272" xr:uid="{2761B441-218F-437A-8211-E5994C354D25}"/>
  <tableColumns count="9">
    <tableColumn id="1" xr3:uid="{9F750DD7-AC9A-4904-A91D-82BCA59DCC1E}" name="Course ID" dataDxfId="143"/>
    <tableColumn id="2" xr3:uid="{62EC5A65-B75E-4D8E-B829-86234593BC28}" name="Topic" dataDxfId="142">
      <calculatedColumnFormula>LOOKUP($A259,$AE:$AE,AF:AF)</calculatedColumnFormula>
    </tableColumn>
    <tableColumn id="3" xr3:uid="{B25EFC3F-0628-4D85-B50B-93F4B6A0BD43}" name="Approval #" dataDxfId="141">
      <calculatedColumnFormula>LOOKUP($A259,$AE:$AE,AG:AG)</calculatedColumnFormula>
    </tableColumn>
    <tableColumn id="4" xr3:uid="{A1492B57-539C-401B-8109-FA957AD960B8}" name="Max" dataDxfId="140">
      <calculatedColumnFormula>LOOKUP($A259,$AE:$AE,AH:AH)</calculatedColumnFormula>
    </tableColumn>
    <tableColumn id="5" xr3:uid="{2FE72AFD-1862-4994-84BF-CE57FF34B253}" name="W" dataDxfId="139">
      <calculatedColumnFormula>LOOKUP($A259,$AE:$AE,AI:AI)</calculatedColumnFormula>
    </tableColumn>
    <tableColumn id="6" xr3:uid="{E87CFCF8-11F1-46B5-826D-B0A7FF2040EF}" name="WW" dataDxfId="138">
      <calculatedColumnFormula>LOOKUP($A259,$AE:$AE,AJ:AJ)</calculatedColumnFormula>
    </tableColumn>
    <tableColumn id="7" xr3:uid="{4D611295-C275-4783-A6EC-7273E9F1DDC8}" name="I" dataDxfId="137">
      <calculatedColumnFormula>LOOKUP($A259,$AE:$AE,AK:AK)</calculatedColumnFormula>
    </tableColumn>
    <tableColumn id="8" xr3:uid="{29914FD7-E07E-4CEF-863D-B45ECDED972A}" name="D" dataDxfId="136">
      <calculatedColumnFormula>LOOKUP($A259,$AE:$AE,AL:AL)</calculatedColumnFormula>
    </tableColumn>
    <tableColumn id="9" xr3:uid="{1137C4AB-BBE7-49EB-924C-0E2C59072AA2}" name="C" dataDxfId="135">
      <calculatedColumnFormula>LOOKUP($A259,$AE:$AE,AM:AM)</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DCFF6FA-AF5A-424E-96B6-D317126603FC}" name="Table391012182126313335" displayName="Table391012182126313335" ref="A276:I293" totalsRowShown="0" headerRowDxfId="134" dataDxfId="133">
  <autoFilter ref="A276:I293" xr:uid="{9DCFF6FA-AF5A-424E-96B6-D317126603FC}"/>
  <tableColumns count="9">
    <tableColumn id="1" xr3:uid="{1A0A75D2-5AE2-4648-860B-00DB902D25B1}" name="Course ID" dataDxfId="132"/>
    <tableColumn id="2" xr3:uid="{500E3B79-9D1C-4CF1-BE59-91D8681C15E1}" name="Topic" dataDxfId="131">
      <calculatedColumnFormula>LOOKUP($A277,$AE:$AE,AF:AF)</calculatedColumnFormula>
    </tableColumn>
    <tableColumn id="3" xr3:uid="{EF9F4432-6E96-4259-8A09-391FAC7B16AD}" name="Approval #" dataDxfId="130">
      <calculatedColumnFormula>LOOKUP($A277,$AE:$AE,AG:AG)</calculatedColumnFormula>
    </tableColumn>
    <tableColumn id="4" xr3:uid="{B0BF077C-C25E-430D-BD1E-B8506B928AE4}" name="Max" dataDxfId="129">
      <calculatedColumnFormula>LOOKUP($A277,$AE:$AE,AH:AH)</calculatedColumnFormula>
    </tableColumn>
    <tableColumn id="5" xr3:uid="{825E99BF-A7C2-4F43-AA06-F068312685C6}" name="W" dataDxfId="128">
      <calculatedColumnFormula>LOOKUP($A277,$AE:$AE,AI:AI)</calculatedColumnFormula>
    </tableColumn>
    <tableColumn id="6" xr3:uid="{B0E2B52C-BDA1-40D7-9271-BEE6BADC7E10}" name="WW" dataDxfId="127">
      <calculatedColumnFormula>LOOKUP($A277,$AE:$AE,AJ:AJ)</calculatedColumnFormula>
    </tableColumn>
    <tableColumn id="7" xr3:uid="{E0DA58B9-2654-4CA6-8B3B-22CE757A75A8}" name="I" dataDxfId="126">
      <calculatedColumnFormula>LOOKUP($A277,$AE:$AE,AK:AK)</calculatedColumnFormula>
    </tableColumn>
    <tableColumn id="8" xr3:uid="{C34473BE-708C-415E-860D-31AA55E9C72B}" name="D" dataDxfId="125">
      <calculatedColumnFormula>LOOKUP($A277,$AE:$AE,AL:AL)</calculatedColumnFormula>
    </tableColumn>
    <tableColumn id="9" xr3:uid="{3ADED974-9011-46A0-8E3B-069C3A0FE87F}" name="C" dataDxfId="124">
      <calculatedColumnFormula>LOOKUP($A277,$AE:$AE,AM:AM)</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98F450FD-A47C-4372-B09A-7F0A0FC896EA}" name="Table39101218212631333536" displayName="Table39101218212631333536" ref="A297:I304" totalsRowShown="0" headerRowDxfId="123" dataDxfId="122">
  <autoFilter ref="A297:I304" xr:uid="{98F450FD-A47C-4372-B09A-7F0A0FC896EA}"/>
  <tableColumns count="9">
    <tableColumn id="1" xr3:uid="{39E6AE3C-D691-4CFF-B3BA-C5E795E1BF07}" name="Course ID" dataDxfId="121"/>
    <tableColumn id="2" xr3:uid="{9A2DDBD0-5916-4687-86EC-3F4B83D0997C}" name="Topic" dataDxfId="120">
      <calculatedColumnFormula>LOOKUP($A298,$AE:$AE,AF:AF)</calculatedColumnFormula>
    </tableColumn>
    <tableColumn id="3" xr3:uid="{2D2EFDDF-8D87-445F-AAF0-A0ABCABCEFE2}" name="Approval #" dataDxfId="119">
      <calculatedColumnFormula>LOOKUP($A298,$AE:$AE,AG:AG)</calculatedColumnFormula>
    </tableColumn>
    <tableColumn id="4" xr3:uid="{1F9A775C-7AE5-4671-AD40-9072D0CC638F}" name="Max" dataDxfId="118">
      <calculatedColumnFormula>LOOKUP($A298,$AE:$AE,AH:AH)</calculatedColumnFormula>
    </tableColumn>
    <tableColumn id="5" xr3:uid="{FF66DBFD-4873-4D38-B89A-88327665BBF9}" name="W" dataDxfId="117">
      <calculatedColumnFormula>LOOKUP($A298,$AE:$AE,AI:AI)</calculatedColumnFormula>
    </tableColumn>
    <tableColumn id="6" xr3:uid="{9C63A57D-EAED-4279-BB47-FE79EBA85FAD}" name="WW" dataDxfId="116">
      <calculatedColumnFormula>LOOKUP($A298,$AE:$AE,AJ:AJ)</calculatedColumnFormula>
    </tableColumn>
    <tableColumn id="7" xr3:uid="{5CAF6AB9-1C77-4A43-AA0B-312DCD7C9396}" name="I" dataDxfId="115">
      <calculatedColumnFormula>LOOKUP($A298,$AE:$AE,AK:AK)</calculatedColumnFormula>
    </tableColumn>
    <tableColumn id="8" xr3:uid="{F94CD00A-280B-4C35-9E8A-136D96C9FED1}" name="D" dataDxfId="114">
      <calculatedColumnFormula>LOOKUP($A298,$AE:$AE,AL:AL)</calculatedColumnFormula>
    </tableColumn>
    <tableColumn id="9" xr3:uid="{F4C86939-68F7-46CF-B7E6-EEAA54595D40}" name="C" dataDxfId="113">
      <calculatedColumnFormula>LOOKUP($A298,$AE:$AE,AM:AM)</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F8F8C98-28FE-4E01-86F9-48D0D8E93122}" name="Table3910121821263133353638" displayName="Table3910121821263133353638" ref="A308:I318" totalsRowShown="0" headerRowDxfId="112" dataDxfId="111">
  <autoFilter ref="A308:I318" xr:uid="{3F8F8C98-28FE-4E01-86F9-48D0D8E93122}"/>
  <tableColumns count="9">
    <tableColumn id="1" xr3:uid="{3DEC6C01-E351-471E-A76C-1958060F41FE}" name="Course ID" dataDxfId="110"/>
    <tableColumn id="2" xr3:uid="{FB3FB6C7-D1CD-41BC-9436-98B6C7A17098}" name="Topic" dataDxfId="109">
      <calculatedColumnFormula>LOOKUP($A309,$AE:$AE,AF:AF)</calculatedColumnFormula>
    </tableColumn>
    <tableColumn id="3" xr3:uid="{2D72FE27-0B7D-44C2-ABB6-08A047569F32}" name="Approval #" dataDxfId="108">
      <calculatedColumnFormula>LOOKUP($A309,$AE:$AE,AG:AG)</calculatedColumnFormula>
    </tableColumn>
    <tableColumn id="4" xr3:uid="{12137945-BF0B-480C-98A8-9BD38AA6CCDC}" name="Max" dataDxfId="107">
      <calculatedColumnFormula>LOOKUP($A309,$AE:$AE,AH:AH)</calculatedColumnFormula>
    </tableColumn>
    <tableColumn id="5" xr3:uid="{635BBDD9-3AC8-42CB-8E4D-0564C3D46180}" name="W" dataDxfId="106">
      <calculatedColumnFormula>LOOKUP($A309,$AE:$AE,AI:AI)</calculatedColumnFormula>
    </tableColumn>
    <tableColumn id="6" xr3:uid="{97820791-157B-4A74-B767-294F53A45C34}" name="WW" dataDxfId="105">
      <calculatedColumnFormula>LOOKUP($A309,$AE:$AE,AJ:AJ)</calculatedColumnFormula>
    </tableColumn>
    <tableColumn id="7" xr3:uid="{239B80C2-F2D1-4D12-AAC8-4CEB3108CAC0}" name="I" dataDxfId="104">
      <calculatedColumnFormula>LOOKUP($A309,$AE:$AE,AK:AK)</calculatedColumnFormula>
    </tableColumn>
    <tableColumn id="8" xr3:uid="{2CD38D67-8A2D-4CD5-BC0B-F827E96E203A}" name="D" dataDxfId="103">
      <calculatedColumnFormula>LOOKUP($A309,$AE:$AE,AL:AL)</calculatedColumnFormula>
    </tableColumn>
    <tableColumn id="9" xr3:uid="{9F1845A3-10C6-45ED-9F30-2F7ABE3FC51D}" name="C" dataDxfId="102">
      <calculatedColumnFormula>LOOKUP($A309,$AE:$AE,AM:AM)</calculatedColumnFormula>
    </tableColumn>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428F37B-BE7B-4AE1-883C-E2B11EBE9ACB}" name="Table3910121821263133353639" displayName="Table3910121821263133353639" ref="A322:I337" totalsRowShown="0" headerRowDxfId="101" dataDxfId="100">
  <autoFilter ref="A322:I337" xr:uid="{F428F37B-BE7B-4AE1-883C-E2B11EBE9ACB}"/>
  <tableColumns count="9">
    <tableColumn id="1" xr3:uid="{005637E8-5D55-411B-B669-A77F2C132327}" name="Course ID" dataDxfId="99"/>
    <tableColumn id="2" xr3:uid="{53700617-4DFD-4B50-8193-2BBDE93B7AFC}" name="Topic" dataDxfId="98">
      <calculatedColumnFormula>LOOKUP($A323,$AE:$AE,AF:AF)</calculatedColumnFormula>
    </tableColumn>
    <tableColumn id="3" xr3:uid="{71681A58-94FA-4579-8966-67CF00B5056A}" name="Approval #" dataDxfId="97">
      <calculatedColumnFormula>LOOKUP($A323,$AE:$AE,AG:AG)</calculatedColumnFormula>
    </tableColumn>
    <tableColumn id="4" xr3:uid="{42B518B6-BD8C-4817-8981-817D26FD2D96}" name="Max" dataDxfId="96">
      <calculatedColumnFormula>LOOKUP($A323,$AE:$AE,AH:AH)</calculatedColumnFormula>
    </tableColumn>
    <tableColumn id="5" xr3:uid="{5D3E764F-2EFD-4E11-8F1E-06A17199EAFF}" name="W" dataDxfId="95">
      <calculatedColumnFormula>LOOKUP($A323,$AE:$AE,AI:AI)</calculatedColumnFormula>
    </tableColumn>
    <tableColumn id="6" xr3:uid="{254C8EE4-9064-42C4-A1B4-8DB7776EB630}" name="WW" dataDxfId="94">
      <calculatedColumnFormula>LOOKUP($A323,$AE:$AE,AJ:AJ)</calculatedColumnFormula>
    </tableColumn>
    <tableColumn id="7" xr3:uid="{6D9D056F-A48B-43C7-98B5-7794EE2201BA}" name="I" dataDxfId="93">
      <calculatedColumnFormula>LOOKUP($A323,$AE:$AE,AK:AK)</calculatedColumnFormula>
    </tableColumn>
    <tableColumn id="8" xr3:uid="{CBA8CEB7-4D35-487C-ADA0-E873439AE35C}" name="D" dataDxfId="92">
      <calculatedColumnFormula>LOOKUP($A323,$AE:$AE,AL:AL)</calculatedColumnFormula>
    </tableColumn>
    <tableColumn id="9" xr3:uid="{70C29176-86DC-489E-BB9A-74B428EEF94F}" name="C" dataDxfId="91">
      <calculatedColumnFormula>LOOKUP($A323,$AE:$AE,AM:AM)</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7A1B056-B500-487E-A624-FE2DC7CA92ED}" name="Table3910121821263133353641" displayName="Table3910121821263133353641" ref="A341:I359" totalsRowShown="0" headerRowDxfId="90" dataDxfId="89">
  <autoFilter ref="A341:I359" xr:uid="{57A1B056-B500-487E-A624-FE2DC7CA92ED}"/>
  <tableColumns count="9">
    <tableColumn id="1" xr3:uid="{BD6A4633-DFAE-405E-BAD5-0BC74D03FB4D}" name="Course ID" dataDxfId="88"/>
    <tableColumn id="2" xr3:uid="{7B1335F1-D983-4EC2-86D2-6819C1F6509C}" name="Topic" dataDxfId="87">
      <calculatedColumnFormula>LOOKUP($A342,$AE:$AE,AF:AF)</calculatedColumnFormula>
    </tableColumn>
    <tableColumn id="3" xr3:uid="{0E3AEB9F-C28F-4078-A1FF-7D0FAF3FA75D}" name="Approval #" dataDxfId="86">
      <calculatedColumnFormula>LOOKUP($A342,$AE:$AE,AG:AG)</calculatedColumnFormula>
    </tableColumn>
    <tableColumn id="4" xr3:uid="{FA1E1354-2AE3-442F-8A21-6CBC5A9ECA87}" name="Max" dataDxfId="85">
      <calculatedColumnFormula>LOOKUP($A342,$AE:$AE,AH:AH)</calculatedColumnFormula>
    </tableColumn>
    <tableColumn id="5" xr3:uid="{B487A427-468E-4D10-B700-D2CBE79ABE61}" name="W" dataDxfId="84">
      <calculatedColumnFormula>LOOKUP($A342,$AE:$AE,AI:AI)</calculatedColumnFormula>
    </tableColumn>
    <tableColumn id="6" xr3:uid="{B66CD9DF-EBBF-4D69-AEF0-03B7146511F0}" name="WW" dataDxfId="83">
      <calculatedColumnFormula>LOOKUP($A342,$AE:$AE,AJ:AJ)</calculatedColumnFormula>
    </tableColumn>
    <tableColumn id="7" xr3:uid="{8D6F7B5A-3488-4DE4-8606-3B8F56257D2D}" name="I" dataDxfId="82">
      <calculatedColumnFormula>LOOKUP($A342,$AE:$AE,AK:AK)</calculatedColumnFormula>
    </tableColumn>
    <tableColumn id="8" xr3:uid="{AD285C00-4024-4959-9DBC-8B1C3F3B1951}" name="D" dataDxfId="81">
      <calculatedColumnFormula>LOOKUP($A342,$AE:$AE,AL:AL)</calculatedColumnFormula>
    </tableColumn>
    <tableColumn id="9" xr3:uid="{CBD27FE5-ECCA-451C-870A-C5A841FAB5C9}" name="C" dataDxfId="80">
      <calculatedColumnFormula>LOOKUP($A342,$AE:$AE,AM:AM)</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D1F803AE-D565-4D2F-9BDA-1E4FF7C5FF3C}" name="Table391012182126313335364142" displayName="Table391012182126313335364142" ref="A363:I369" totalsRowShown="0" headerRowDxfId="79" dataDxfId="78">
  <autoFilter ref="A363:I369" xr:uid="{D1F803AE-D565-4D2F-9BDA-1E4FF7C5FF3C}"/>
  <tableColumns count="9">
    <tableColumn id="1" xr3:uid="{1BA83908-F5A1-4CCC-8E3B-B6FB16E50CD0}" name="Course ID" dataDxfId="77"/>
    <tableColumn id="2" xr3:uid="{4599298B-C32A-46CA-9815-D745C5163FC1}" name="Topic" dataDxfId="76">
      <calculatedColumnFormula>LOOKUP($A364,$AE:$AE,AF:AF)</calculatedColumnFormula>
    </tableColumn>
    <tableColumn id="3" xr3:uid="{50CCE329-4517-4D42-BA54-8CA0608513D3}" name="Approval #" dataDxfId="75">
      <calculatedColumnFormula>LOOKUP($A364,$AE:$AE,AG:AG)</calculatedColumnFormula>
    </tableColumn>
    <tableColumn id="4" xr3:uid="{4E8308AB-55FF-4BC1-839D-BA52CB707249}" name="Max" dataDxfId="74">
      <calculatedColumnFormula>LOOKUP($A364,$AE:$AE,AH:AH)</calculatedColumnFormula>
    </tableColumn>
    <tableColumn id="5" xr3:uid="{6C4BA54E-3301-4B55-82DB-37C94216774E}" name="W" dataDxfId="73">
      <calculatedColumnFormula>LOOKUP($A364,$AE:$AE,AI:AI)</calculatedColumnFormula>
    </tableColumn>
    <tableColumn id="6" xr3:uid="{ACF205B5-36B2-4280-9A49-EA9DDEA71B7D}" name="WW" dataDxfId="72">
      <calculatedColumnFormula>LOOKUP($A364,$AE:$AE,AJ:AJ)</calculatedColumnFormula>
    </tableColumn>
    <tableColumn id="7" xr3:uid="{6DEDD912-1DE4-4B0F-924C-95EB759DA90D}" name="I" dataDxfId="71">
      <calculatedColumnFormula>LOOKUP($A364,$AE:$AE,AK:AK)</calculatedColumnFormula>
    </tableColumn>
    <tableColumn id="8" xr3:uid="{A9480C5D-3E6E-4C05-8DB2-7AA26DF0C54D}" name="D" dataDxfId="70">
      <calculatedColumnFormula>LOOKUP($A364,$AE:$AE,AL:AL)</calculatedColumnFormula>
    </tableColumn>
    <tableColumn id="9" xr3:uid="{A54D5458-F9B9-47D0-BE9B-591E5575F802}" name="C" dataDxfId="69">
      <calculatedColumnFormula>LOOKUP($A364,$AE:$AE,AM:AM)</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3072CD3-36D4-4249-BA2B-E3004225BDEF}" name="Table39101218212631333536414243" displayName="Table39101218212631333536414243" ref="A373:I382" totalsRowShown="0" headerRowDxfId="68" dataDxfId="67">
  <autoFilter ref="A373:I382" xr:uid="{03072CD3-36D4-4249-BA2B-E3004225BDEF}"/>
  <tableColumns count="9">
    <tableColumn id="1" xr3:uid="{49545C5B-B2EF-4E99-AA5A-B7B5FECD08D7}" name="Course ID" dataDxfId="66"/>
    <tableColumn id="2" xr3:uid="{3D0725DF-3F9A-4630-9F0D-2C410044A123}" name="Topic" dataDxfId="65">
      <calculatedColumnFormula>LOOKUP($A374,$AE:$AE,AF:AF)</calculatedColumnFormula>
    </tableColumn>
    <tableColumn id="3" xr3:uid="{9B345C0D-8501-4758-BA99-60E68788E906}" name="Approval #" dataDxfId="64">
      <calculatedColumnFormula>LOOKUP($A374,$AE:$AE,AG:AG)</calculatedColumnFormula>
    </tableColumn>
    <tableColumn id="4" xr3:uid="{F962C5A7-EAC7-4556-871D-54B3FB7F101B}" name="Max" dataDxfId="63">
      <calculatedColumnFormula>LOOKUP($A374,$AE:$AE,AH:AH)</calculatedColumnFormula>
    </tableColumn>
    <tableColumn id="5" xr3:uid="{E55F2CE9-7FEB-4467-9DAB-0136FAF7767D}" name="W" dataDxfId="62">
      <calculatedColumnFormula>LOOKUP($A374,$AE:$AE,AI:AI)</calculatedColumnFormula>
    </tableColumn>
    <tableColumn id="6" xr3:uid="{44D8F17D-0869-4360-A8FD-3CBF36055EB5}" name="WW" dataDxfId="61">
      <calculatedColumnFormula>LOOKUP($A374,$AE:$AE,AJ:AJ)</calculatedColumnFormula>
    </tableColumn>
    <tableColumn id="7" xr3:uid="{0CC01F0A-B207-443C-981A-00C6A44A7DFB}" name="I" dataDxfId="60">
      <calculatedColumnFormula>LOOKUP($A374,$AE:$AE,AK:AK)</calculatedColumnFormula>
    </tableColumn>
    <tableColumn id="8" xr3:uid="{B4673363-4AE2-4B4F-BEED-012BF64534F0}" name="D" dataDxfId="59">
      <calculatedColumnFormula>LOOKUP($A374,$AE:$AE,AL:AL)</calculatedColumnFormula>
    </tableColumn>
    <tableColumn id="9" xr3:uid="{35140CC5-0887-41FC-A89D-682132B94527}" name="C" dataDxfId="58">
      <calculatedColumnFormula>LOOKUP($A374,$AE:$AE,AM:AM)</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A1ABF5C2-29F6-487D-8983-8416C996EF03}" name="Table39101218212631333536414245" displayName="Table39101218212631333536414245" ref="A386:I399" totalsRowShown="0" headerRowDxfId="57" dataDxfId="56">
  <autoFilter ref="A386:I399" xr:uid="{A1ABF5C2-29F6-487D-8983-8416C996EF03}"/>
  <tableColumns count="9">
    <tableColumn id="1" xr3:uid="{E5D34E49-9E87-4539-8A7B-6F731246A515}" name="Course ID" dataDxfId="55"/>
    <tableColumn id="2" xr3:uid="{75FC6A01-F5A1-4992-AB78-1D0559D2FE7E}" name="Topic" dataDxfId="54">
      <calculatedColumnFormula>LOOKUP($A387,$AE:$AE,AF:AF)</calculatedColumnFormula>
    </tableColumn>
    <tableColumn id="3" xr3:uid="{843AEBA3-FFF4-452F-9726-6338647C33F2}" name="Approval #" dataDxfId="53">
      <calculatedColumnFormula>LOOKUP($A387,$AE:$AE,AG:AG)</calculatedColumnFormula>
    </tableColumn>
    <tableColumn id="4" xr3:uid="{21DC40A7-0FF9-4C84-B41E-E81F0E7B715F}" name="Max" dataDxfId="52">
      <calculatedColumnFormula>LOOKUP($A387,$AE:$AE,AH:AH)</calculatedColumnFormula>
    </tableColumn>
    <tableColumn id="5" xr3:uid="{14577585-2CD6-4C0C-8272-0A033FF699C9}" name="W" dataDxfId="51">
      <calculatedColumnFormula>LOOKUP($A387,$AE:$AE,AI:AI)</calculatedColumnFormula>
    </tableColumn>
    <tableColumn id="6" xr3:uid="{CFC56C76-EE60-41A1-B036-48D347CFF137}" name="WW" dataDxfId="50">
      <calculatedColumnFormula>LOOKUP($A387,$AE:$AE,AJ:AJ)</calculatedColumnFormula>
    </tableColumn>
    <tableColumn id="7" xr3:uid="{65EFCD8E-A867-4411-BC48-F0D498D3A12C}" name="I" dataDxfId="49">
      <calculatedColumnFormula>LOOKUP($A387,$AE:$AE,AK:AK)</calculatedColumnFormula>
    </tableColumn>
    <tableColumn id="8" xr3:uid="{6B4D43BA-56FD-4282-81AB-73BABEAAC958}" name="D" dataDxfId="48">
      <calculatedColumnFormula>LOOKUP($A387,$AE:$AE,AL:AL)</calculatedColumnFormula>
    </tableColumn>
    <tableColumn id="9" xr3:uid="{E4CCC6BF-4B73-4C73-9058-D6E70452C22B}" name="C" dataDxfId="47">
      <calculatedColumnFormula>LOOKUP($A387,$AE:$AE,AM:AM)</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B0046C-981C-45C0-83DC-92979443B61F}" name="Table36" displayName="Table36" ref="A20:I25" totalsRowShown="0" headerRowDxfId="343" dataDxfId="342">
  <autoFilter ref="A20:I25" xr:uid="{17B0046C-981C-45C0-83DC-92979443B61F}"/>
  <tableColumns count="9">
    <tableColumn id="1" xr3:uid="{F9F01FA2-4D7B-462C-8227-E939AF4E4852}" name="Course ID" dataDxfId="341"/>
    <tableColumn id="2" xr3:uid="{9900EA1F-6B2A-462D-A650-71ECE0102390}" name="Topic" dataDxfId="340">
      <calculatedColumnFormula>LOOKUP($A21,$AE:$AE,AF:AF)</calculatedColumnFormula>
    </tableColumn>
    <tableColumn id="3" xr3:uid="{498994C9-F18A-4D04-A605-610B48A7ED61}" name="Approval #" dataDxfId="339">
      <calculatedColumnFormula>LOOKUP($A21,$AE:$AE,AG:AG)</calculatedColumnFormula>
    </tableColumn>
    <tableColumn id="4" xr3:uid="{CBA65202-4DB0-4B03-8A48-C3D2255A4D01}" name="Max" dataDxfId="338">
      <calculatedColumnFormula>LOOKUP($A21,$AE:$AE,AH:AH)</calculatedColumnFormula>
    </tableColumn>
    <tableColumn id="5" xr3:uid="{A1C8C706-D575-4F12-A8D5-7F41BEB2F7C8}" name="W" dataDxfId="337">
      <calculatedColumnFormula>LOOKUP($A21,$AE:$AE,AI:AI)</calculatedColumnFormula>
    </tableColumn>
    <tableColumn id="6" xr3:uid="{99F31756-0B7F-4267-A7E2-264F0BFAE113}" name="WW" dataDxfId="336">
      <calculatedColumnFormula>LOOKUP($A21,$AE:$AE,AJ:AJ)</calculatedColumnFormula>
    </tableColumn>
    <tableColumn id="7" xr3:uid="{6ED60CE8-59EE-408C-9278-2C8433B24DB7}" name="I" dataDxfId="335">
      <calculatedColumnFormula>LOOKUP($A21,$AE:$AE,AK:AK)</calculatedColumnFormula>
    </tableColumn>
    <tableColumn id="8" xr3:uid="{31DFE46D-69B2-4A1F-8AFF-A5541A3F3764}" name="D" dataDxfId="334">
      <calculatedColumnFormula>LOOKUP($A21,$AE:$AE,AL:AL)</calculatedColumnFormula>
    </tableColumn>
    <tableColumn id="9" xr3:uid="{EECB7F28-5F3D-4541-AFEA-7117859529B1}" name="C" dataDxfId="333">
      <calculatedColumnFormula>LOOKUP($A21,$AE:$AE,AM:AM)</calculatedColumnFormula>
    </tableColumn>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1CE9A71-8D84-49A7-967F-E63365AFF28C}" name="Table39101218212631333536414246" displayName="Table39101218212631333536414246" ref="A403:I420" totalsRowShown="0" headerRowDxfId="46" dataDxfId="45">
  <autoFilter ref="A403:I420" xr:uid="{D1CE9A71-8D84-49A7-967F-E63365AFF28C}"/>
  <tableColumns count="9">
    <tableColumn id="1" xr3:uid="{C017F910-FA4F-4B9F-AA8A-D380A2385FAE}" name="Course ID" dataDxfId="44"/>
    <tableColumn id="2" xr3:uid="{53CD7260-E27A-4367-982B-AD714ED2B904}" name="Topic" dataDxfId="43">
      <calculatedColumnFormula>LOOKUP($A404,$AE:$AE,AF:AF)</calculatedColumnFormula>
    </tableColumn>
    <tableColumn id="3" xr3:uid="{E81D0B5D-802F-451C-A1D2-AD0CB9EBCD3C}" name="Approval #" dataDxfId="42">
      <calculatedColumnFormula>LOOKUP($A404,$AE:$AE,AG:AG)</calculatedColumnFormula>
    </tableColumn>
    <tableColumn id="4" xr3:uid="{CEA38942-D92F-4EBA-A8AB-8F838958F132}" name="Max" dataDxfId="41">
      <calculatedColumnFormula>LOOKUP($A404,$AE:$AE,AH:AH)</calculatedColumnFormula>
    </tableColumn>
    <tableColumn id="5" xr3:uid="{249B281F-3526-4A0D-A10B-320D7AAF612B}" name="W" dataDxfId="40">
      <calculatedColumnFormula>LOOKUP($A404,$AE:$AE,AI:AI)</calculatedColumnFormula>
    </tableColumn>
    <tableColumn id="6" xr3:uid="{8EEF8414-0AD6-4E9C-B549-AD446942BA91}" name="WW" dataDxfId="39">
      <calculatedColumnFormula>LOOKUP($A404,$AE:$AE,AJ:AJ)</calculatedColumnFormula>
    </tableColumn>
    <tableColumn id="7" xr3:uid="{F7BDE3D1-B2D6-4111-836A-1169B63699C0}" name="I" dataDxfId="38">
      <calculatedColumnFormula>LOOKUP($A404,$AE:$AE,AK:AK)</calculatedColumnFormula>
    </tableColumn>
    <tableColumn id="8" xr3:uid="{70BC5AC4-D5C5-4133-8FFA-5763C1C676C4}" name="D" dataDxfId="37">
      <calculatedColumnFormula>LOOKUP($A404,$AE:$AE,AL:AL)</calculatedColumnFormula>
    </tableColumn>
    <tableColumn id="9" xr3:uid="{199C84D7-5D99-47C4-BB0B-3FF1B9C5D21E}" name="C" dataDxfId="36">
      <calculatedColumnFormula>LOOKUP($A404,$AE:$AE,AM:AM)</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56D181-2829-492C-986F-D7FBF3D47A41}" name="Table2" displayName="Table2" ref="A3:J31" totalsRowShown="0" headerRowDxfId="35" dataDxfId="34">
  <autoFilter ref="A3:J31" xr:uid="{2156D181-2829-492C-986F-D7FBF3D47A41}"/>
  <tableColumns count="10">
    <tableColumn id="1" xr3:uid="{042505D6-9D70-421E-8080-272E2B8A6185}" name="Indigo ID Number" dataDxfId="33"/>
    <tableColumn id="2" xr3:uid="{E2A272D1-CB44-4ACE-BA10-5773EC981ED3}" name="Topic" dataDxfId="32">
      <calculatedColumnFormula>LOOKUP($A4,'Learning Paths'!$AE:$AE,'Learning Paths'!AF:AF)</calculatedColumnFormula>
    </tableColumn>
    <tableColumn id="3" xr3:uid="{0A44A8C3-612A-4BD6-B38F-E86B979EAB3F}" name="Existing Approval No." dataDxfId="31">
      <calculatedColumnFormula>LOOKUP($A4,'Learning Paths'!$AE:$AE,'Learning Paths'!AG:AG)</calculatedColumnFormula>
    </tableColumn>
    <tableColumn id="4" xr3:uid="{118BAFDC-BD01-4F7E-84E0-7AFBF7072BF6}" name="Portal Topic Used for TUs Calculation" dataDxfId="30">
      <calculatedColumnFormula>LOOKUP($A4,'Learning Paths'!$AE:$AE,'Learning Paths'!AH:AH)</calculatedColumnFormula>
    </tableColumn>
    <tableColumn id="5" xr3:uid="{07FC2EDE-19FF-4723-8767-6068063C2052}" name="Max TUs" dataDxfId="29">
      <calculatedColumnFormula>LOOKUP($A4,'Learning Paths'!$AE:$AE,'Learning Paths'!AH:AH)</calculatedColumnFormula>
    </tableColumn>
    <tableColumn id="6" xr3:uid="{C738415F-4943-4338-83D6-176557AA318E}" name="W" dataDxfId="28">
      <calculatedColumnFormula>LOOKUP($A4,'Learning Paths'!$AE:$AE,'Learning Paths'!AI:AI)</calculatedColumnFormula>
    </tableColumn>
    <tableColumn id="7" xr3:uid="{ED294760-F5FD-4A26-95AB-AABB832B89BB}" name="WW" dataDxfId="27">
      <calculatedColumnFormula>LOOKUP($A4,'Learning Paths'!$AE:$AE,'Learning Paths'!AJ:AJ)</calculatedColumnFormula>
    </tableColumn>
    <tableColumn id="8" xr3:uid="{E4C62855-9035-4F9B-BB59-8F05E2E788DD}" name="I" dataDxfId="26">
      <calculatedColumnFormula>LOOKUP($A4,'Learning Paths'!$AE:$AE,'Learning Paths'!AK:AK)</calculatedColumnFormula>
    </tableColumn>
    <tableColumn id="9" xr3:uid="{F2A81410-D085-4E73-A7F9-1D869DBF9781}" name="D" dataDxfId="25">
      <calculatedColumnFormula>LOOKUP($A4,'Learning Paths'!$AE:$AE,'Learning Paths'!AL:AL)</calculatedColumnFormula>
    </tableColumn>
    <tableColumn id="10" xr3:uid="{41F30341-41BA-417D-BF6C-430D3236028F}" name="C" dataDxfId="24">
      <calculatedColumnFormula>LOOKUP($A4,'Learning Paths'!$AE:$AE,'Learning Paths'!AM:AM)</calculatedColumnFormula>
    </tableColumn>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3E9B0A-F2CE-4DFD-90D1-EBD8136D075D}" name="Table1" displayName="Table1" ref="B3:K32" totalsRowCount="1" headerRowDxfId="23" dataDxfId="21" totalsRowDxfId="20" headerRowBorderDxfId="22">
  <autoFilter ref="B3:K31" xr:uid="{F73E9B0A-F2CE-4DFD-90D1-EBD8136D075D}"/>
  <tableColumns count="10">
    <tableColumn id="1" xr3:uid="{21A3CA62-3981-4B49-ACB6-AA71C1BE1BB6}" name="Indigo ID Number" dataDxfId="19"/>
    <tableColumn id="2" xr3:uid="{98072E4E-14E5-4515-B3A4-6165445EABAA}" name="Topic" dataDxfId="18" totalsRowDxfId="17">
      <calculatedColumnFormula>LOOKUP(Table1[[#This Row],[Indigo ID Number]],'Learning Paths'!$AE:$AE,'Learning Paths'!AF:AF)</calculatedColumnFormula>
    </tableColumn>
    <tableColumn id="3" xr3:uid="{9B62B876-D18F-4D9D-B425-E5F01F083E5C}" name="Existing Approval No." dataDxfId="16" totalsRowDxfId="15">
      <calculatedColumnFormula>LOOKUP(Table1[[#This Row],[Indigo ID Number]],'Learning Paths'!$AE:$AE,'Learning Paths'!AG:AG)</calculatedColumnFormula>
    </tableColumn>
    <tableColumn id="4" xr3:uid="{D414CEB0-A93C-479B-97E6-120E0D4C0D58}" name="Portal Topic Used for TUs Calculation" dataDxfId="14" totalsRowDxfId="13">
      <calculatedColumnFormula>LOOKUP(Table1[[#This Row],[Existing Approval No.]],'Learning Paths'!$AE:$AE,'Learning Paths'!AH:AH)</calculatedColumnFormula>
    </tableColumn>
    <tableColumn id="5" xr3:uid="{4CD96B27-E24C-4F92-8AF8-DB2E6985EF25}" name="Max TUs" dataDxfId="12" totalsRowDxfId="11">
      <calculatedColumnFormula>LOOKUP(Table1[[#This Row],[Indigo ID Number]],'Learning Paths'!$AE:$AE,'Learning Paths'!AH:AH)</calculatedColumnFormula>
    </tableColumn>
    <tableColumn id="6" xr3:uid="{BC69243A-548B-43B3-86BD-CDDA8E09FA75}" name="W" dataDxfId="10" totalsRowDxfId="9">
      <calculatedColumnFormula>LOOKUP(Table1[[#This Row],[Indigo ID Number]],'Learning Paths'!$AE:$AE,'Learning Paths'!AI:AI)</calculatedColumnFormula>
    </tableColumn>
    <tableColumn id="7" xr3:uid="{523A91C0-B781-4C4B-B822-D6C49B3F0432}" name="WW" dataDxfId="8" totalsRowDxfId="7">
      <calculatedColumnFormula>LOOKUP(Table1[[#This Row],[Indigo ID Number]],'Learning Paths'!$AE:$AE,'Learning Paths'!AJ:AJ)</calculatedColumnFormula>
    </tableColumn>
    <tableColumn id="8" xr3:uid="{DF657139-5756-4EBD-81D1-04D2C13DA930}" name="I" dataDxfId="6" totalsRowDxfId="5">
      <calculatedColumnFormula>LOOKUP(Table1[[#This Row],[Indigo ID Number]],'Learning Paths'!$AE:$AE,'Learning Paths'!AK:AK)</calculatedColumnFormula>
    </tableColumn>
    <tableColumn id="9" xr3:uid="{B554548D-49D9-4C4A-A62C-0AB44C2542DC}" name="D" dataDxfId="4" totalsRowDxfId="3">
      <calculatedColumnFormula>LOOKUP(Table1[[#This Row],[Indigo ID Number]],'Learning Paths'!$AE:$AE,'Learning Paths'!AL:AL)</calculatedColumnFormula>
    </tableColumn>
    <tableColumn id="10" xr3:uid="{0ECBA9AB-626B-4C0B-943F-D7E25D6056C0}" name="C" dataDxfId="2" totalsRowDxfId="1">
      <calculatedColumnFormula>LOOKUP(Table1[[#This Row],[Indigo ID Number]],'Learning Paths'!$AE:$AE,'Learning Paths'!AM:AM)</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DD67DD-1B41-46EF-8DD9-E476B8EBEF57}" name="Table6" displayName="Table6" ref="A13:I16" totalsRowShown="0" headerRowDxfId="332" dataDxfId="331">
  <autoFilter ref="A13:I16" xr:uid="{63DD67DD-1B41-46EF-8DD9-E476B8EBEF57}"/>
  <tableColumns count="9">
    <tableColumn id="1" xr3:uid="{92EA7E3A-D39F-4147-85C8-1D87C9A486CC}" name="Course ID" dataDxfId="330"/>
    <tableColumn id="2" xr3:uid="{24CD1FD0-017A-41C3-865D-BBD43ACD1290}" name="Topic" dataDxfId="329">
      <calculatedColumnFormula>LOOKUP($A14,$AE:$AE,AF:AF)</calculatedColumnFormula>
    </tableColumn>
    <tableColumn id="3" xr3:uid="{3ACD5A65-D0EC-4F84-98F4-6EE3810409A2}" name="Approval #" dataDxfId="328">
      <calculatedColumnFormula>LOOKUP($A14,$AE:$AE,AG:AG)</calculatedColumnFormula>
    </tableColumn>
    <tableColumn id="4" xr3:uid="{E61F0B0C-D851-4ABD-B19D-FD16E8BD7B93}" name="Max" dataDxfId="327">
      <calculatedColumnFormula>LOOKUP($A14,$AE:$AE,AH:AH)</calculatedColumnFormula>
    </tableColumn>
    <tableColumn id="5" xr3:uid="{BDFA0226-C09C-44D4-89A8-6EB269A30F95}" name="W" dataDxfId="326">
      <calculatedColumnFormula>LOOKUP($A14,$AE:$AE,AI:AI)</calculatedColumnFormula>
    </tableColumn>
    <tableColumn id="6" xr3:uid="{A4552691-DE56-41BD-9A45-E04F4C9297AA}" name="WW" dataDxfId="325">
      <calculatedColumnFormula>LOOKUP($A14,$AE:$AE,AJ:AJ)</calculatedColumnFormula>
    </tableColumn>
    <tableColumn id="7" xr3:uid="{B3C4EFB4-F40E-4E4D-BC7E-E6A4E2A9742D}" name="I" dataDxfId="324">
      <calculatedColumnFormula>LOOKUP($A14,$AE:$AE,AK:AK)</calculatedColumnFormula>
    </tableColumn>
    <tableColumn id="8" xr3:uid="{610B4C83-0A0E-45D6-AF2F-8BF8C899317A}" name="D" dataDxfId="323">
      <calculatedColumnFormula>LOOKUP($A14,$AE:$AE,AL:AL)</calculatedColumnFormula>
    </tableColumn>
    <tableColumn id="9" xr3:uid="{D3F0E800-2387-469B-B616-C22834039E86}" name="C2" dataDxfId="322">
      <calculatedColumnFormula>LOOKUP($A14,$AE:$AE,AM:AM)</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4CED34-8138-44BB-805F-E10F06D93661}" name="Table38" displayName="Table38" ref="A29:I35" totalsRowShown="0" headerRowDxfId="321" dataDxfId="320">
  <autoFilter ref="A29:I35" xr:uid="{1C4CED34-8138-44BB-805F-E10F06D93661}"/>
  <tableColumns count="9">
    <tableColumn id="1" xr3:uid="{0159A05A-6256-42AB-9E29-09C9064C4521}" name="Course ID" dataDxfId="319"/>
    <tableColumn id="2" xr3:uid="{9B4FE6E6-6810-418E-8A1C-43157E4762E3}" name="Topic" dataDxfId="318">
      <calculatedColumnFormula>LOOKUP($A30,$AE:$AE,AF:AF)</calculatedColumnFormula>
    </tableColumn>
    <tableColumn id="3" xr3:uid="{24CB2592-F25D-4B35-9492-D837C3503D93}" name="Approval #" dataDxfId="317">
      <calculatedColumnFormula>LOOKUP($A30,$AE:$AE,AG:AG)</calculatedColumnFormula>
    </tableColumn>
    <tableColumn id="4" xr3:uid="{7C4BF03C-9718-4CE3-A6EB-72DAC67FE812}" name="Max" dataDxfId="316">
      <calculatedColumnFormula>LOOKUP($A30,$AE:$AE,AH:AH)</calculatedColumnFormula>
    </tableColumn>
    <tableColumn id="5" xr3:uid="{3B6C4121-FB01-4547-B873-7B71BEA6956D}" name="W" dataDxfId="315">
      <calculatedColumnFormula>LOOKUP($A30,$AE:$AE,AI:AI)</calculatedColumnFormula>
    </tableColumn>
    <tableColumn id="6" xr3:uid="{A24E276B-6CFE-4950-93AB-E86CBEFF0C3E}" name="WW" dataDxfId="314">
      <calculatedColumnFormula>LOOKUP($A30,$AE:$AE,AJ:AJ)</calculatedColumnFormula>
    </tableColumn>
    <tableColumn id="7" xr3:uid="{B6059EB1-924D-4270-8F46-1DCDF470FB17}" name="I" dataDxfId="313">
      <calculatedColumnFormula>LOOKUP($A30,$AE:$AE,AK:AK)</calculatedColumnFormula>
    </tableColumn>
    <tableColumn id="8" xr3:uid="{5A69F2B4-C60D-4CB1-99CF-723738FE9784}" name="D" dataDxfId="312">
      <calculatedColumnFormula>LOOKUP($A30,$AE:$AE,AL:AL)</calculatedColumnFormula>
    </tableColumn>
    <tableColumn id="9" xr3:uid="{1026A147-5BBB-498F-AA64-2BD9465F487E}" name="C" dataDxfId="311">
      <calculatedColumnFormula>LOOKUP($A30,$AE:$AE,AM:AM)</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D6E83C-DC17-4E4D-B235-BD851365DD02}" name="Table39" displayName="Table39" ref="A39:I50" totalsRowShown="0" headerRowDxfId="310" dataDxfId="309">
  <autoFilter ref="A39:I50" xr:uid="{8DD6E83C-DC17-4E4D-B235-BD851365DD02}"/>
  <tableColumns count="9">
    <tableColumn id="1" xr3:uid="{66371F45-0BB3-4D95-A0AF-32F5CD7636FC}" name="Course ID" dataDxfId="308"/>
    <tableColumn id="2" xr3:uid="{AAD5EC05-9681-447B-A6B0-9696A054F2C2}" name="Topic" dataDxfId="307">
      <calculatedColumnFormula>LOOKUP($A40,$AE:$AE,AF:AF)</calculatedColumnFormula>
    </tableColumn>
    <tableColumn id="3" xr3:uid="{6AF081A3-0AC9-4752-A7C0-88BD54CEE9D6}" name="Approval #" dataDxfId="306">
      <calculatedColumnFormula>LOOKUP($A40,$AE:$AE,AG:AG)</calculatedColumnFormula>
    </tableColumn>
    <tableColumn id="4" xr3:uid="{01E0EF16-FD36-4C8D-91D8-56B492E68F27}" name="Max" dataDxfId="305">
      <calculatedColumnFormula>AH19</calculatedColumnFormula>
    </tableColumn>
    <tableColumn id="5" xr3:uid="{DA6AEA8B-7F42-487B-83CB-76D97239E38B}" name="W" dataDxfId="304">
      <calculatedColumnFormula>LOOKUP($A40,$AE:$AE,AI:AI)</calculatedColumnFormula>
    </tableColumn>
    <tableColumn id="6" xr3:uid="{80DC9B1F-D291-4147-A76F-2C2E2CF1E406}" name="WW" dataDxfId="303">
      <calculatedColumnFormula>LOOKUP($A40,$AE:$AE,AJ:AJ)</calculatedColumnFormula>
    </tableColumn>
    <tableColumn id="7" xr3:uid="{FA6B8BEE-5846-4A6E-ACFD-11CAACF0DC09}" name="I" dataDxfId="302">
      <calculatedColumnFormula>LOOKUP($A40,$AE:$AE,AK:AK)</calculatedColumnFormula>
    </tableColumn>
    <tableColumn id="8" xr3:uid="{1C7F9866-79CE-4A08-A06F-B4803B8D0DD3}" name="D" dataDxfId="301">
      <calculatedColumnFormula>LOOKUP($A40,$AE:$AE,AL:AL)</calculatedColumnFormula>
    </tableColumn>
    <tableColumn id="9" xr3:uid="{155EFFF7-3404-45B8-8E9E-F88246DA7641}" name="C" dataDxfId="300">
      <calculatedColumnFormula>LOOKUP($A40,$AE:$AE,AM:AM)</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F8A2FFE-486E-49B1-9155-F08529693E66}" name="Table3910" displayName="Table3910" ref="A54:I66" totalsRowShown="0" headerRowDxfId="299" dataDxfId="298">
  <autoFilter ref="A54:I66" xr:uid="{0F8A2FFE-486E-49B1-9155-F08529693E66}"/>
  <tableColumns count="9">
    <tableColumn id="1" xr3:uid="{E856EBE9-2007-4AE2-8027-C93FED0344DA}" name="Course ID" dataDxfId="297"/>
    <tableColumn id="2" xr3:uid="{5850D5EE-3D3A-41C6-9F99-11C1F0170F0A}" name="Topic" dataDxfId="296">
      <calculatedColumnFormula>LOOKUP($A55,$AE:$AE,AF:AF)</calculatedColumnFormula>
    </tableColumn>
    <tableColumn id="3" xr3:uid="{510F9677-CCEA-4EEB-9937-E17DDDFAA3A6}" name="Approval #" dataDxfId="295">
      <calculatedColumnFormula>LOOKUP($A55,$AE:$AE,AG:AG)</calculatedColumnFormula>
    </tableColumn>
    <tableColumn id="4" xr3:uid="{EA2B1884-900A-4D59-9EAA-37482A9C619E}" name="Max" dataDxfId="294">
      <calculatedColumnFormula>LOOKUP($A55,$AE:$AE,AH:AH)</calculatedColumnFormula>
    </tableColumn>
    <tableColumn id="5" xr3:uid="{C314420D-AD16-4077-96F0-80AAB04761B0}" name="W" dataDxfId="293">
      <calculatedColumnFormula>LOOKUP($A55,$AE:$AE,AI:AI)</calculatedColumnFormula>
    </tableColumn>
    <tableColumn id="6" xr3:uid="{6340620C-0AF4-49F3-A5B8-3593F92659F0}" name="WW" dataDxfId="292">
      <calculatedColumnFormula>LOOKUP($A55,$AE:$AE,AJ:AJ)</calculatedColumnFormula>
    </tableColumn>
    <tableColumn id="7" xr3:uid="{3485B8F2-1B0B-49D1-8BA2-BD72DA6AB022}" name="I" dataDxfId="291">
      <calculatedColumnFormula>LOOKUP($A55,$AE:$AE,AK:AK)</calculatedColumnFormula>
    </tableColumn>
    <tableColumn id="8" xr3:uid="{24662DDD-5A0E-4DDB-9AB8-359EFF89B491}" name="D" dataDxfId="290">
      <calculatedColumnFormula>LOOKUP($A55,$AE:$AE,AL:AL)</calculatedColumnFormula>
    </tableColumn>
    <tableColumn id="9" xr3:uid="{8D42EB80-E7D1-4325-BF8A-D9ED026E513A}" name="C" dataDxfId="289">
      <calculatedColumnFormula>LOOKUP($A55,$AE:$AE,AM:AM)</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43E8DC4-49C3-4330-945C-C4E96B2B9A21}" name="Table391012" displayName="Table391012" ref="A70:I76" totalsRowShown="0" headerRowDxfId="288" dataDxfId="287">
  <autoFilter ref="A70:I76" xr:uid="{443E8DC4-49C3-4330-945C-C4E96B2B9A21}"/>
  <tableColumns count="9">
    <tableColumn id="1" xr3:uid="{BC03BE16-F38C-43F8-8762-4CF7D565AFD8}" name="Course ID" dataDxfId="286"/>
    <tableColumn id="2" xr3:uid="{41C8BDCC-64B8-47C7-9A6D-474752B34425}" name="Topic" dataDxfId="285">
      <calculatedColumnFormula>LOOKUP($A71,$AE:$AE,AF:AF)</calculatedColumnFormula>
    </tableColumn>
    <tableColumn id="3" xr3:uid="{A313FB58-ED81-49DC-B5D0-523FEC614908}" name="Approval #" dataDxfId="284">
      <calculatedColumnFormula>LOOKUP($A71,$AE:$AE,AG:AG)</calculatedColumnFormula>
    </tableColumn>
    <tableColumn id="4" xr3:uid="{CC1ED235-26FA-4DE8-991F-FC1844370291}" name="Max" dataDxfId="283">
      <calculatedColumnFormula>LOOKUP($A71,$AE:$AE,AH:AH)</calculatedColumnFormula>
    </tableColumn>
    <tableColumn id="5" xr3:uid="{1C027CA0-B183-4D1B-8E6C-EDC7337F8A74}" name="W" dataDxfId="282">
      <calculatedColumnFormula>LOOKUP($A71,$AE:$AE,AI:AI)</calculatedColumnFormula>
    </tableColumn>
    <tableColumn id="6" xr3:uid="{B45ED670-6AC6-493B-AB36-FDA8CE68A288}" name="WW" dataDxfId="281">
      <calculatedColumnFormula>LOOKUP($A71,$AE:$AE,AJ:AJ)</calculatedColumnFormula>
    </tableColumn>
    <tableColumn id="7" xr3:uid="{B6CEA8AE-03D5-4F2F-956D-C59D475E69D8}" name="I" dataDxfId="280">
      <calculatedColumnFormula>LOOKUP($A71,$AE:$AE,AK:AK)</calculatedColumnFormula>
    </tableColumn>
    <tableColumn id="8" xr3:uid="{E730A044-F8F3-47F0-9713-4685B4E8DFEE}" name="D" dataDxfId="279">
      <calculatedColumnFormula>LOOKUP($A71,$AE:$AE,AL:AL)</calculatedColumnFormula>
    </tableColumn>
    <tableColumn id="9" xr3:uid="{8332E6FB-4F24-4DFE-8FAB-D27B24E98599}" name="C" dataDxfId="278">
      <calculatedColumnFormula>LOOKUP($A71,$AE:$AE,AM:AM)</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11A7996-BD9A-4741-B8EB-8911358F57A0}" name="Table39101216" displayName="Table39101216" ref="A80:I90" totalsRowShown="0" headerRowDxfId="277" dataDxfId="276">
  <autoFilter ref="A80:I90" xr:uid="{511A7996-BD9A-4741-B8EB-8911358F57A0}"/>
  <tableColumns count="9">
    <tableColumn id="1" xr3:uid="{2697285D-7F56-41A6-BA7E-2A1B0948F8E2}" name="Course ID" dataDxfId="275"/>
    <tableColumn id="2" xr3:uid="{C166AFBD-506A-48DE-8099-DFD9B2561A48}" name="Topic" dataDxfId="274">
      <calculatedColumnFormula>LOOKUP($A81,$AE:$AE,AF:AF)</calculatedColumnFormula>
    </tableColumn>
    <tableColumn id="3" xr3:uid="{E755F99C-31DD-4AB9-A0A7-3A876F339048}" name="Approval #" dataDxfId="273">
      <calculatedColumnFormula>LOOKUP($A81,$AE:$AE,AG:AG)</calculatedColumnFormula>
    </tableColumn>
    <tableColumn id="4" xr3:uid="{E49E5937-A960-4FE4-9320-DBD295DD3BFD}" name="Max" dataDxfId="272">
      <calculatedColumnFormula>LOOKUP($A81,$AE:$AE,AH:AH)</calculatedColumnFormula>
    </tableColumn>
    <tableColumn id="5" xr3:uid="{5CEDF588-6CDE-4DF8-9BAB-949F28B83A3B}" name="W" dataDxfId="271">
      <calculatedColumnFormula>LOOKUP($A81,$AE:$AE,AI:AI)</calculatedColumnFormula>
    </tableColumn>
    <tableColumn id="6" xr3:uid="{1674D773-5593-492F-91AC-F01E5FB7DFA0}" name="WW" dataDxfId="270">
      <calculatedColumnFormula>LOOKUP($A81,$AE:$AE,AJ:AJ)</calculatedColumnFormula>
    </tableColumn>
    <tableColumn id="7" xr3:uid="{318EEC2D-8BF8-44E3-8FC0-74EE604EFE1E}" name="I" dataDxfId="269">
      <calculatedColumnFormula>LOOKUP($A81,$AE:$AE,AK:AK)</calculatedColumnFormula>
    </tableColumn>
    <tableColumn id="8" xr3:uid="{2781C03E-2E92-49B4-AD03-7232690C9993}" name="D" dataDxfId="268">
      <calculatedColumnFormula>LOOKUP($A81,$AE:$AE,AL:AL)</calculatedColumnFormula>
    </tableColumn>
    <tableColumn id="9" xr3:uid="{8537322C-4460-4D15-809E-676FC93BD541}" name="C" dataDxfId="267">
      <calculatedColumnFormula>LOOKUP($A81,$AE:$AE,AM:AM)</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P127"/>
  <sheetViews>
    <sheetView tabSelected="1" topLeftCell="A2" zoomScaleNormal="100" zoomScaleSheetLayoutView="100" workbookViewId="0">
      <pane xSplit="9735" ySplit="1845" topLeftCell="L2" activePane="bottomLeft"/>
      <selection activeCell="A2" sqref="A1:A1048576"/>
      <selection pane="topRight" activeCell="I2" sqref="I2"/>
      <selection pane="bottomLeft" activeCell="C2" sqref="C2"/>
      <selection pane="bottomRight" activeCell="I4" sqref="I4"/>
    </sheetView>
  </sheetViews>
  <sheetFormatPr defaultColWidth="16.88671875" defaultRowHeight="13.2" x14ac:dyDescent="0.25"/>
  <cols>
    <col min="1" max="1" width="14" style="11" customWidth="1"/>
    <col min="2" max="2" width="14" style="12" hidden="1" customWidth="1"/>
    <col min="3" max="3" width="48.6640625" style="356" customWidth="1"/>
    <col min="4" max="4" width="10.88671875" style="336" customWidth="1"/>
    <col min="5" max="5" width="10.88671875" style="336" hidden="1" customWidth="1"/>
    <col min="6" max="7" width="13.88671875" style="336" hidden="1" customWidth="1"/>
    <col min="8" max="8" width="13.88671875" style="336" customWidth="1"/>
    <col min="9" max="9" width="16.88671875" style="239" hidden="1" customWidth="1"/>
    <col min="10" max="10" width="15.6640625" style="239" hidden="1" customWidth="1"/>
    <col min="11" max="11" width="18" style="239" hidden="1" customWidth="1"/>
    <col min="12" max="17" width="12.5546875" style="239" customWidth="1"/>
    <col min="18" max="18" width="20" style="239" customWidth="1"/>
    <col min="19" max="19" width="22.109375" style="12" customWidth="1"/>
    <col min="20" max="21" width="16.88671875" style="336" customWidth="1"/>
    <col min="22" max="25" width="16.88671875" style="336" hidden="1" customWidth="1"/>
    <col min="26" max="26" width="16.88671875" style="12" customWidth="1"/>
    <col min="27" max="27" width="34.5546875" style="12" customWidth="1"/>
    <col min="28" max="28" width="16.88671875" style="12" customWidth="1"/>
    <col min="29" max="29" width="16.88671875" style="336" customWidth="1"/>
    <col min="30" max="35" width="16.88671875" style="336" hidden="1" customWidth="1"/>
    <col min="36" max="37" width="16.88671875" style="336" customWidth="1"/>
    <col min="38" max="38" width="16.88671875" style="399" customWidth="1"/>
    <col min="39" max="39" width="16.88671875" style="246" customWidth="1"/>
    <col min="40" max="40" width="16.88671875" style="12" customWidth="1"/>
    <col min="41" max="41" width="16.88671875" style="336" customWidth="1"/>
    <col min="42" max="42" width="16.88671875" style="12" customWidth="1"/>
    <col min="43" max="43" width="16.88671875" style="253" customWidth="1"/>
    <col min="44" max="44" width="21.88671875" style="12" hidden="1" customWidth="1"/>
    <col min="45" max="45" width="21.88671875" style="12" customWidth="1"/>
    <col min="46" max="46" width="16.88671875" style="336" customWidth="1"/>
    <col min="47" max="52" width="16.88671875" style="12" customWidth="1"/>
    <col min="53" max="53" width="16.88671875" style="401" hidden="1" customWidth="1"/>
    <col min="54" max="54" width="16.88671875" style="402" customWidth="1"/>
    <col min="55" max="56" width="16.88671875" style="401" customWidth="1"/>
    <col min="57" max="58" width="16.88671875" style="402" customWidth="1"/>
    <col min="59" max="59" width="16.88671875" style="403" customWidth="1"/>
    <col min="60" max="60" width="16.88671875" style="401" customWidth="1"/>
    <col min="61" max="61" width="16.88671875" style="402" customWidth="1"/>
    <col min="62" max="63" width="16.88671875" style="401" customWidth="1"/>
    <col min="64" max="64" width="16.88671875" style="402" customWidth="1"/>
    <col min="65" max="65" width="35.6640625" style="310" customWidth="1"/>
    <col min="66" max="66" width="27.88671875" style="310" customWidth="1"/>
    <col min="67" max="67" width="28.88671875" style="310" customWidth="1"/>
    <col min="68" max="70" width="41.109375" style="310" customWidth="1"/>
    <col min="71" max="79" width="41.109375" style="11" customWidth="1"/>
    <col min="80" max="82" width="41.44140625" style="11" customWidth="1"/>
    <col min="83" max="85" width="16.88671875" style="11" customWidth="1"/>
    <col min="86" max="16384" width="16.88671875" style="11"/>
  </cols>
  <sheetData>
    <row r="1" spans="1:146" s="105" customFormat="1" ht="34.5" hidden="1" customHeight="1" thickBot="1" x14ac:dyDescent="0.3">
      <c r="A1" s="83" t="s">
        <v>273</v>
      </c>
      <c r="B1" s="84" t="s">
        <v>1871</v>
      </c>
      <c r="C1" s="85" t="s">
        <v>274</v>
      </c>
      <c r="D1" s="86" t="s">
        <v>1774</v>
      </c>
      <c r="E1" s="87"/>
      <c r="F1" s="87"/>
      <c r="G1" s="87"/>
      <c r="H1" s="87"/>
      <c r="I1" s="88" t="s">
        <v>1667</v>
      </c>
      <c r="J1" s="88" t="s">
        <v>1067</v>
      </c>
      <c r="K1" s="88" t="s">
        <v>629</v>
      </c>
      <c r="L1" s="89" t="s">
        <v>247</v>
      </c>
      <c r="M1" s="89" t="s">
        <v>248</v>
      </c>
      <c r="N1" s="89" t="s">
        <v>249</v>
      </c>
      <c r="O1" s="89" t="s">
        <v>250</v>
      </c>
      <c r="P1" s="89" t="s">
        <v>251</v>
      </c>
      <c r="Q1" s="90" t="s">
        <v>252</v>
      </c>
      <c r="R1" s="91" t="s">
        <v>902</v>
      </c>
      <c r="S1" s="92" t="s">
        <v>253</v>
      </c>
      <c r="T1" s="93" t="s">
        <v>254</v>
      </c>
      <c r="U1" s="94" t="s">
        <v>255</v>
      </c>
      <c r="V1" s="95" t="s">
        <v>688</v>
      </c>
      <c r="W1" s="95" t="s">
        <v>689</v>
      </c>
      <c r="X1" s="95" t="s">
        <v>690</v>
      </c>
      <c r="Y1" s="95" t="s">
        <v>691</v>
      </c>
      <c r="Z1" s="92" t="s">
        <v>256</v>
      </c>
      <c r="AA1" s="96" t="s">
        <v>257</v>
      </c>
      <c r="AB1" s="96" t="s">
        <v>258</v>
      </c>
      <c r="AC1" s="94" t="s">
        <v>259</v>
      </c>
      <c r="AD1" s="95" t="s">
        <v>693</v>
      </c>
      <c r="AE1" s="95" t="s">
        <v>694</v>
      </c>
      <c r="AF1" s="95" t="s">
        <v>695</v>
      </c>
      <c r="AG1" s="95" t="s">
        <v>1133</v>
      </c>
      <c r="AH1" s="95" t="s">
        <v>1134</v>
      </c>
      <c r="AI1" s="95" t="s">
        <v>1135</v>
      </c>
      <c r="AJ1" s="97" t="s">
        <v>260</v>
      </c>
      <c r="AK1" s="94" t="s">
        <v>261</v>
      </c>
      <c r="AL1" s="92" t="s">
        <v>265</v>
      </c>
      <c r="AM1" s="98" t="s">
        <v>702</v>
      </c>
      <c r="AN1" s="84" t="s">
        <v>263</v>
      </c>
      <c r="AO1" s="99" t="s">
        <v>262</v>
      </c>
      <c r="AP1" s="100" t="s">
        <v>264</v>
      </c>
      <c r="AQ1" s="101" t="s">
        <v>683</v>
      </c>
      <c r="AR1" s="84" t="s">
        <v>626</v>
      </c>
      <c r="AS1" s="102" t="s">
        <v>625</v>
      </c>
      <c r="AT1" s="99" t="s">
        <v>627</v>
      </c>
      <c r="AU1" s="102" t="s">
        <v>266</v>
      </c>
      <c r="AV1" s="102" t="s">
        <v>1139</v>
      </c>
      <c r="AW1" s="102" t="s">
        <v>1141</v>
      </c>
      <c r="AX1" s="102" t="s">
        <v>1142</v>
      </c>
      <c r="AY1" s="102" t="s">
        <v>1143</v>
      </c>
      <c r="AZ1" s="102" t="s">
        <v>1144</v>
      </c>
      <c r="BA1" s="102" t="s">
        <v>267</v>
      </c>
      <c r="BB1" s="99" t="s">
        <v>268</v>
      </c>
      <c r="BC1" s="102" t="s">
        <v>269</v>
      </c>
      <c r="BD1" s="102" t="s">
        <v>270</v>
      </c>
      <c r="BE1" s="99" t="s">
        <v>271</v>
      </c>
      <c r="BF1" s="99" t="s">
        <v>272</v>
      </c>
      <c r="BG1" s="103" t="s">
        <v>332</v>
      </c>
      <c r="BH1" s="82" t="s">
        <v>628</v>
      </c>
      <c r="BI1" s="87" t="s">
        <v>334</v>
      </c>
      <c r="BJ1" s="82" t="s">
        <v>700</v>
      </c>
      <c r="BK1" s="82" t="s">
        <v>333</v>
      </c>
      <c r="BL1" s="87" t="s">
        <v>335</v>
      </c>
      <c r="BM1" s="104" t="s">
        <v>275</v>
      </c>
      <c r="BN1" s="104" t="s">
        <v>1472</v>
      </c>
      <c r="BO1" s="104" t="s">
        <v>1473</v>
      </c>
      <c r="BP1" s="104" t="s">
        <v>930</v>
      </c>
      <c r="BQ1" s="104" t="s">
        <v>1560</v>
      </c>
      <c r="BR1" s="104" t="s">
        <v>1561</v>
      </c>
      <c r="BS1" s="104" t="s">
        <v>359</v>
      </c>
      <c r="BT1" s="104" t="s">
        <v>360</v>
      </c>
      <c r="BU1" s="104" t="s">
        <v>361</v>
      </c>
      <c r="BV1" s="104" t="s">
        <v>362</v>
      </c>
      <c r="BW1" s="104" t="s">
        <v>363</v>
      </c>
      <c r="BX1" s="104" t="s">
        <v>364</v>
      </c>
      <c r="BY1" s="104" t="s">
        <v>365</v>
      </c>
      <c r="BZ1" s="104" t="s">
        <v>399</v>
      </c>
      <c r="CA1" s="104" t="s">
        <v>444</v>
      </c>
      <c r="CB1" s="104" t="s">
        <v>481</v>
      </c>
      <c r="CC1" s="104" t="s">
        <v>615</v>
      </c>
      <c r="CD1" s="680" t="s">
        <v>616</v>
      </c>
      <c r="CE1" s="16"/>
      <c r="CF1" s="16"/>
      <c r="CG1" s="16"/>
    </row>
    <row r="2" spans="1:146" s="105" customFormat="1" ht="79.8" thickBot="1" x14ac:dyDescent="0.3">
      <c r="A2" s="106" t="s">
        <v>292</v>
      </c>
      <c r="B2" s="107" t="s">
        <v>1872</v>
      </c>
      <c r="C2" s="108" t="s">
        <v>157</v>
      </c>
      <c r="D2" s="86" t="s">
        <v>340</v>
      </c>
      <c r="E2" s="109" t="s">
        <v>1914</v>
      </c>
      <c r="F2" s="109" t="s">
        <v>1920</v>
      </c>
      <c r="G2" s="109" t="s">
        <v>1921</v>
      </c>
      <c r="H2" s="110" t="s">
        <v>1937</v>
      </c>
      <c r="I2" s="110" t="s">
        <v>1695</v>
      </c>
      <c r="J2" s="110" t="s">
        <v>1068</v>
      </c>
      <c r="K2" s="110" t="s">
        <v>510</v>
      </c>
      <c r="L2" s="111" t="s">
        <v>293</v>
      </c>
      <c r="M2" s="111" t="s">
        <v>294</v>
      </c>
      <c r="N2" s="111" t="s">
        <v>295</v>
      </c>
      <c r="O2" s="111" t="s">
        <v>296</v>
      </c>
      <c r="P2" s="111" t="s">
        <v>297</v>
      </c>
      <c r="Q2" s="112" t="s">
        <v>298</v>
      </c>
      <c r="R2" s="113" t="s">
        <v>900</v>
      </c>
      <c r="S2" s="110" t="s">
        <v>299</v>
      </c>
      <c r="T2" s="114" t="s">
        <v>300</v>
      </c>
      <c r="U2" s="115" t="s">
        <v>301</v>
      </c>
      <c r="V2" s="116" t="s">
        <v>685</v>
      </c>
      <c r="W2" s="116" t="s">
        <v>686</v>
      </c>
      <c r="X2" s="116" t="s">
        <v>687</v>
      </c>
      <c r="Y2" s="116" t="s">
        <v>692</v>
      </c>
      <c r="Z2" s="110" t="s">
        <v>302</v>
      </c>
      <c r="AA2" s="117" t="s">
        <v>303</v>
      </c>
      <c r="AB2" s="117" t="s">
        <v>304</v>
      </c>
      <c r="AC2" s="115" t="s">
        <v>305</v>
      </c>
      <c r="AD2" s="116" t="s">
        <v>696</v>
      </c>
      <c r="AE2" s="116" t="s">
        <v>697</v>
      </c>
      <c r="AF2" s="116" t="s">
        <v>698</v>
      </c>
      <c r="AG2" s="116" t="s">
        <v>1136</v>
      </c>
      <c r="AH2" s="116" t="s">
        <v>1137</v>
      </c>
      <c r="AI2" s="116" t="s">
        <v>1138</v>
      </c>
      <c r="AJ2" s="118" t="s">
        <v>306</v>
      </c>
      <c r="AK2" s="115" t="s">
        <v>307</v>
      </c>
      <c r="AL2" s="110" t="s">
        <v>577</v>
      </c>
      <c r="AM2" s="119" t="s">
        <v>703</v>
      </c>
      <c r="AN2" s="110" t="s">
        <v>308</v>
      </c>
      <c r="AO2" s="117" t="s">
        <v>309</v>
      </c>
      <c r="AP2" s="119" t="s">
        <v>310</v>
      </c>
      <c r="AQ2" s="120" t="s">
        <v>684</v>
      </c>
      <c r="AR2" s="121" t="s">
        <v>624</v>
      </c>
      <c r="AS2" s="121" t="s">
        <v>1856</v>
      </c>
      <c r="AT2" s="114" t="s">
        <v>1857</v>
      </c>
      <c r="AU2" s="120" t="s">
        <v>311</v>
      </c>
      <c r="AV2" s="122" t="s">
        <v>1140</v>
      </c>
      <c r="AW2" s="122" t="s">
        <v>1145</v>
      </c>
      <c r="AX2" s="122" t="s">
        <v>1146</v>
      </c>
      <c r="AY2" s="122" t="s">
        <v>1147</v>
      </c>
      <c r="AZ2" s="122" t="s">
        <v>1148</v>
      </c>
      <c r="BA2" s="107" t="s">
        <v>170</v>
      </c>
      <c r="BB2" s="118" t="s">
        <v>171</v>
      </c>
      <c r="BC2" s="120" t="s">
        <v>312</v>
      </c>
      <c r="BD2" s="110" t="s">
        <v>313</v>
      </c>
      <c r="BE2" s="117" t="s">
        <v>314</v>
      </c>
      <c r="BF2" s="120" t="s">
        <v>315</v>
      </c>
      <c r="BG2" s="123" t="s">
        <v>326</v>
      </c>
      <c r="BH2" s="117" t="s">
        <v>345</v>
      </c>
      <c r="BI2" s="114" t="s">
        <v>329</v>
      </c>
      <c r="BJ2" s="117" t="s">
        <v>327</v>
      </c>
      <c r="BK2" s="119" t="s">
        <v>701</v>
      </c>
      <c r="BL2" s="124" t="s">
        <v>328</v>
      </c>
      <c r="BM2" s="104" t="s">
        <v>602</v>
      </c>
      <c r="BN2" s="104" t="s">
        <v>1472</v>
      </c>
      <c r="BO2" s="104" t="s">
        <v>1473</v>
      </c>
      <c r="BP2" s="104" t="s">
        <v>930</v>
      </c>
      <c r="BQ2" s="104" t="s">
        <v>1562</v>
      </c>
      <c r="BR2" s="104" t="s">
        <v>1563</v>
      </c>
      <c r="BS2" s="104" t="s">
        <v>603</v>
      </c>
      <c r="BT2" s="104" t="s">
        <v>604</v>
      </c>
      <c r="BU2" s="104" t="s">
        <v>605</v>
      </c>
      <c r="BV2" s="104" t="s">
        <v>606</v>
      </c>
      <c r="BW2" s="104" t="s">
        <v>607</v>
      </c>
      <c r="BX2" s="104" t="s">
        <v>608</v>
      </c>
      <c r="BY2" s="104" t="s">
        <v>609</v>
      </c>
      <c r="BZ2" s="104" t="s">
        <v>610</v>
      </c>
      <c r="CA2" s="104" t="s">
        <v>611</v>
      </c>
      <c r="CB2" s="104" t="s">
        <v>612</v>
      </c>
      <c r="CC2" s="104" t="s">
        <v>613</v>
      </c>
      <c r="CD2" s="680" t="s">
        <v>614</v>
      </c>
      <c r="CE2" s="16" t="s">
        <v>2088</v>
      </c>
      <c r="CF2" s="16"/>
      <c r="CG2" s="16"/>
      <c r="CH2" s="105" t="s">
        <v>2072</v>
      </c>
    </row>
    <row r="3" spans="1:146" s="105" customFormat="1" ht="13.8" hidden="1" thickBot="1" x14ac:dyDescent="0.3">
      <c r="A3" s="125" t="s">
        <v>704</v>
      </c>
      <c r="B3" s="126"/>
      <c r="C3" s="127" t="s">
        <v>704</v>
      </c>
      <c r="D3" s="128"/>
      <c r="E3" s="116"/>
      <c r="F3" s="116"/>
      <c r="G3" s="116"/>
      <c r="H3" s="116"/>
      <c r="I3" s="129"/>
      <c r="J3" s="129"/>
      <c r="K3" s="129"/>
      <c r="L3" s="130">
        <v>1</v>
      </c>
      <c r="M3" s="130">
        <v>2</v>
      </c>
      <c r="N3" s="130">
        <v>3</v>
      </c>
      <c r="O3" s="130">
        <v>4</v>
      </c>
      <c r="P3" s="130">
        <v>5</v>
      </c>
      <c r="Q3" s="131">
        <v>6</v>
      </c>
      <c r="R3" s="132"/>
      <c r="S3" s="110"/>
      <c r="T3" s="114"/>
      <c r="U3" s="115"/>
      <c r="V3" s="116"/>
      <c r="W3" s="116"/>
      <c r="X3" s="116"/>
      <c r="Y3" s="116"/>
      <c r="Z3" s="110"/>
      <c r="AA3" s="117"/>
      <c r="AB3" s="117"/>
      <c r="AC3" s="115"/>
      <c r="AD3" s="116"/>
      <c r="AE3" s="116"/>
      <c r="AF3" s="116"/>
      <c r="AG3" s="116"/>
      <c r="AH3" s="116"/>
      <c r="AI3" s="116"/>
      <c r="AJ3" s="118"/>
      <c r="AK3" s="115"/>
      <c r="AL3" s="110"/>
      <c r="AM3" s="119"/>
      <c r="AN3" s="110"/>
      <c r="AO3" s="117"/>
      <c r="AP3" s="119"/>
      <c r="AQ3" s="120"/>
      <c r="AR3" s="121"/>
      <c r="AS3" s="121"/>
      <c r="AT3" s="124"/>
      <c r="AU3" s="120"/>
      <c r="AV3" s="122"/>
      <c r="AW3" s="122"/>
      <c r="AX3" s="122"/>
      <c r="AY3" s="122"/>
      <c r="AZ3" s="122"/>
      <c r="BA3" s="107"/>
      <c r="BB3" s="118"/>
      <c r="BC3" s="120"/>
      <c r="BD3" s="110"/>
      <c r="BE3" s="117"/>
      <c r="BF3" s="120"/>
      <c r="BG3" s="123"/>
      <c r="BH3" s="117"/>
      <c r="BI3" s="114"/>
      <c r="BJ3" s="117"/>
      <c r="BK3" s="119"/>
      <c r="BL3" s="124"/>
      <c r="BM3" s="104"/>
      <c r="BN3" s="104"/>
      <c r="BO3" s="104"/>
      <c r="BP3" s="104"/>
      <c r="BQ3" s="104"/>
      <c r="BR3" s="104"/>
      <c r="BS3" s="104"/>
      <c r="BT3" s="104"/>
      <c r="BU3" s="104"/>
      <c r="BV3" s="104"/>
      <c r="BW3" s="104"/>
      <c r="BX3" s="104"/>
      <c r="BY3" s="104"/>
      <c r="BZ3" s="104"/>
      <c r="CA3" s="104"/>
      <c r="CB3" s="104"/>
      <c r="CC3" s="104"/>
      <c r="CD3" s="680"/>
      <c r="CE3" s="16"/>
      <c r="CF3" s="16"/>
      <c r="CG3" s="16"/>
    </row>
    <row r="4" spans="1:146" ht="13.8" thickBot="1" x14ac:dyDescent="0.3">
      <c r="A4" s="133"/>
      <c r="B4" s="134"/>
      <c r="C4" s="108" t="s">
        <v>33</v>
      </c>
      <c r="D4" s="56"/>
      <c r="E4" s="64"/>
      <c r="F4" s="64"/>
      <c r="G4" s="64"/>
      <c r="H4" s="64"/>
      <c r="I4" s="42"/>
      <c r="J4" s="42"/>
      <c r="K4" s="42"/>
      <c r="L4" s="136"/>
      <c r="M4" s="137"/>
      <c r="N4" s="136"/>
      <c r="O4" s="136"/>
      <c r="P4" s="136"/>
      <c r="Q4" s="138"/>
      <c r="R4" s="139"/>
      <c r="S4" s="140"/>
      <c r="T4" s="141"/>
      <c r="U4" s="142"/>
      <c r="V4" s="143"/>
      <c r="W4" s="143"/>
      <c r="X4" s="143"/>
      <c r="Y4" s="143"/>
      <c r="Z4" s="140"/>
      <c r="AA4" s="144"/>
      <c r="AB4" s="144"/>
      <c r="AC4" s="142"/>
      <c r="AD4" s="143"/>
      <c r="AE4" s="143"/>
      <c r="AF4" s="143"/>
      <c r="AG4" s="143"/>
      <c r="AH4" s="143"/>
      <c r="AI4" s="143"/>
      <c r="AJ4" s="145"/>
      <c r="AK4" s="142"/>
      <c r="AL4" s="146"/>
      <c r="AM4" s="147"/>
      <c r="AN4" s="110"/>
      <c r="AO4" s="148"/>
      <c r="AP4" s="149"/>
      <c r="AQ4" s="150"/>
      <c r="AR4" s="151"/>
      <c r="AS4" s="151"/>
      <c r="AT4" s="152"/>
      <c r="AU4" s="153"/>
      <c r="AV4" s="154"/>
      <c r="AW4" s="154"/>
      <c r="AX4" s="154"/>
      <c r="AY4" s="154"/>
      <c r="AZ4" s="154"/>
      <c r="BA4" s="155"/>
      <c r="BB4" s="689" t="s">
        <v>316</v>
      </c>
      <c r="BC4" s="690"/>
      <c r="BD4" s="146"/>
      <c r="BE4" s="157"/>
      <c r="BF4" s="158"/>
      <c r="BG4" s="159"/>
      <c r="BH4" s="160"/>
      <c r="BI4" s="157"/>
      <c r="BJ4" s="160"/>
      <c r="BK4" s="147"/>
      <c r="BL4" s="161" t="s">
        <v>237</v>
      </c>
      <c r="BM4" s="162"/>
      <c r="BN4" s="162"/>
      <c r="BO4" s="162"/>
      <c r="BP4" s="162"/>
      <c r="BQ4" s="162"/>
      <c r="BR4" s="162"/>
      <c r="BS4" s="163"/>
      <c r="BT4" s="163"/>
      <c r="BU4" s="163"/>
      <c r="BV4" s="163"/>
      <c r="BW4" s="163"/>
      <c r="BX4" s="163"/>
      <c r="BY4" s="163"/>
      <c r="BZ4" s="163"/>
      <c r="CA4" s="163"/>
      <c r="CB4" s="163"/>
      <c r="CC4" s="163"/>
      <c r="CD4" s="681"/>
      <c r="CG4" s="11" t="s">
        <v>320</v>
      </c>
    </row>
    <row r="5" spans="1:146" s="487" customFormat="1" x14ac:dyDescent="0.25">
      <c r="A5" s="454" t="s">
        <v>174</v>
      </c>
      <c r="B5" s="455">
        <v>363</v>
      </c>
      <c r="C5" s="456" t="s">
        <v>238</v>
      </c>
      <c r="D5" s="458">
        <v>1</v>
      </c>
      <c r="E5" s="459" t="s">
        <v>1915</v>
      </c>
      <c r="F5" s="459" t="s">
        <v>1915</v>
      </c>
      <c r="G5" s="459" t="s">
        <v>1915</v>
      </c>
      <c r="H5" s="459" t="s">
        <v>1938</v>
      </c>
      <c r="I5" s="460" t="s">
        <v>1714</v>
      </c>
      <c r="J5" s="460" t="s">
        <v>1085</v>
      </c>
      <c r="K5" s="460" t="s">
        <v>623</v>
      </c>
      <c r="L5" s="461">
        <v>0.1</v>
      </c>
      <c r="M5" s="461">
        <v>0.1</v>
      </c>
      <c r="N5" s="461">
        <v>0.1</v>
      </c>
      <c r="O5" s="461">
        <v>0.1</v>
      </c>
      <c r="P5" s="461">
        <v>0.1</v>
      </c>
      <c r="Q5" s="462">
        <v>0.1</v>
      </c>
      <c r="R5" s="463" t="s">
        <v>901</v>
      </c>
      <c r="S5" s="464" t="s">
        <v>1336</v>
      </c>
      <c r="T5" s="465">
        <v>1</v>
      </c>
      <c r="U5" s="466"/>
      <c r="V5" s="467"/>
      <c r="W5" s="467"/>
      <c r="X5" s="467"/>
      <c r="Y5" s="467"/>
      <c r="Z5" s="468" t="s">
        <v>906</v>
      </c>
      <c r="AA5" s="469" t="s">
        <v>176</v>
      </c>
      <c r="AB5" s="469" t="s">
        <v>182</v>
      </c>
      <c r="AC5" s="466">
        <v>1</v>
      </c>
      <c r="AD5" s="467"/>
      <c r="AE5" s="467"/>
      <c r="AF5" s="467"/>
      <c r="AG5" s="467"/>
      <c r="AH5" s="467"/>
      <c r="AI5" s="467"/>
      <c r="AJ5" s="470" t="s">
        <v>163</v>
      </c>
      <c r="AK5" s="466" t="s">
        <v>163</v>
      </c>
      <c r="AL5" s="471" t="s">
        <v>571</v>
      </c>
      <c r="AM5" s="472">
        <v>1</v>
      </c>
      <c r="AN5" s="464" t="s">
        <v>1201</v>
      </c>
      <c r="AO5" s="465">
        <v>1</v>
      </c>
      <c r="AP5" s="473" t="s">
        <v>23</v>
      </c>
      <c r="AQ5" s="466" t="s">
        <v>163</v>
      </c>
      <c r="AR5" s="474" t="s">
        <v>277</v>
      </c>
      <c r="AS5" s="474" t="s">
        <v>1776</v>
      </c>
      <c r="AT5" s="475">
        <f t="shared" ref="AT5:AT11" si="0">L5*10</f>
        <v>1</v>
      </c>
      <c r="AU5" s="476" t="s">
        <v>150</v>
      </c>
      <c r="AV5" s="457" t="s">
        <v>1264</v>
      </c>
      <c r="AW5" s="457">
        <v>1</v>
      </c>
      <c r="AX5" s="457">
        <v>1</v>
      </c>
      <c r="AY5" s="457">
        <v>1</v>
      </c>
      <c r="AZ5" s="457">
        <v>1</v>
      </c>
      <c r="BA5" s="477">
        <v>1</v>
      </c>
      <c r="BB5" s="478">
        <v>0.1</v>
      </c>
      <c r="BC5" s="479" t="s">
        <v>1014</v>
      </c>
      <c r="BD5" s="471" t="s">
        <v>163</v>
      </c>
      <c r="BE5" s="480" t="s">
        <v>163</v>
      </c>
      <c r="BF5" s="481" t="s">
        <v>163</v>
      </c>
      <c r="BG5" s="482">
        <v>2024.0210999999999</v>
      </c>
      <c r="BH5" s="483" t="s">
        <v>347</v>
      </c>
      <c r="BI5" s="483">
        <v>1</v>
      </c>
      <c r="BJ5" s="483" t="s">
        <v>321</v>
      </c>
      <c r="BK5" s="472">
        <v>0</v>
      </c>
      <c r="BL5" s="484" t="s">
        <v>321</v>
      </c>
      <c r="BM5" s="485" t="s">
        <v>884</v>
      </c>
      <c r="BN5" s="485" t="s">
        <v>1521</v>
      </c>
      <c r="BO5" s="485" t="s">
        <v>1522</v>
      </c>
      <c r="BP5" s="485" t="s">
        <v>1541</v>
      </c>
      <c r="BQ5" s="485" t="s">
        <v>1651</v>
      </c>
      <c r="BR5" s="485" t="s">
        <v>1640</v>
      </c>
      <c r="BS5" s="486" t="s">
        <v>368</v>
      </c>
      <c r="BT5" s="486" t="s">
        <v>369</v>
      </c>
      <c r="BU5" s="486" t="s">
        <v>366</v>
      </c>
      <c r="BV5" s="486" t="s">
        <v>367</v>
      </c>
      <c r="BW5" s="486"/>
      <c r="BX5" s="486"/>
      <c r="BY5" s="486"/>
      <c r="BZ5" s="486"/>
      <c r="CA5" s="486"/>
      <c r="CB5" s="486"/>
      <c r="CC5" s="486"/>
      <c r="CD5" s="682"/>
      <c r="CE5" s="487" t="s">
        <v>2089</v>
      </c>
      <c r="CG5" s="487" t="s">
        <v>321</v>
      </c>
      <c r="CH5" s="487">
        <f>COUNTA(BS5:CD5)</f>
        <v>4</v>
      </c>
    </row>
    <row r="6" spans="1:146" x14ac:dyDescent="0.25">
      <c r="A6" s="192" t="s">
        <v>51</v>
      </c>
      <c r="B6" s="193">
        <v>364</v>
      </c>
      <c r="C6" s="194" t="s">
        <v>34</v>
      </c>
      <c r="D6" s="196">
        <v>0.5</v>
      </c>
      <c r="E6" s="197" t="s">
        <v>1915</v>
      </c>
      <c r="F6" s="197" t="s">
        <v>1915</v>
      </c>
      <c r="G6" s="197" t="s">
        <v>1915</v>
      </c>
      <c r="H6" s="197" t="s">
        <v>1939</v>
      </c>
      <c r="I6" s="198" t="s">
        <v>1713</v>
      </c>
      <c r="J6" s="198" t="s">
        <v>1086</v>
      </c>
      <c r="K6" s="198" t="s">
        <v>622</v>
      </c>
      <c r="L6" s="199">
        <v>0.05</v>
      </c>
      <c r="M6" s="199">
        <v>0.05</v>
      </c>
      <c r="N6" s="199">
        <v>0.05</v>
      </c>
      <c r="O6" s="199">
        <v>0.05</v>
      </c>
      <c r="P6" s="199">
        <v>0.05</v>
      </c>
      <c r="Q6" s="200">
        <v>0.05</v>
      </c>
      <c r="R6" s="201" t="s">
        <v>901</v>
      </c>
      <c r="S6" s="202" t="s">
        <v>1337</v>
      </c>
      <c r="T6" s="203">
        <v>0.5</v>
      </c>
      <c r="U6" s="204"/>
      <c r="V6" s="205"/>
      <c r="W6" s="205"/>
      <c r="X6" s="205"/>
      <c r="Y6" s="205"/>
      <c r="Z6" s="202" t="s">
        <v>179</v>
      </c>
      <c r="AA6" s="206" t="s">
        <v>176</v>
      </c>
      <c r="AB6" s="206" t="s">
        <v>182</v>
      </c>
      <c r="AC6" s="204">
        <v>0.5</v>
      </c>
      <c r="AD6" s="205"/>
      <c r="AE6" s="205"/>
      <c r="AF6" s="205"/>
      <c r="AG6" s="205"/>
      <c r="AH6" s="205"/>
      <c r="AI6" s="205"/>
      <c r="AJ6" s="207" t="s">
        <v>163</v>
      </c>
      <c r="AK6" s="204" t="s">
        <v>163</v>
      </c>
      <c r="AL6" s="208" t="s">
        <v>572</v>
      </c>
      <c r="AM6" s="209">
        <v>0.5</v>
      </c>
      <c r="AN6" s="202" t="s">
        <v>1202</v>
      </c>
      <c r="AO6" s="203">
        <v>0.5</v>
      </c>
      <c r="AP6" s="210" t="s">
        <v>23</v>
      </c>
      <c r="AQ6" s="204" t="s">
        <v>163</v>
      </c>
      <c r="AR6" s="211" t="s">
        <v>148</v>
      </c>
      <c r="AS6" s="211" t="s">
        <v>1777</v>
      </c>
      <c r="AT6" s="212">
        <f t="shared" si="0"/>
        <v>0.5</v>
      </c>
      <c r="AU6" s="213" t="s">
        <v>150</v>
      </c>
      <c r="AV6" s="195" t="s">
        <v>172</v>
      </c>
      <c r="AW6" s="195">
        <v>0</v>
      </c>
      <c r="AX6" s="195">
        <v>0</v>
      </c>
      <c r="AY6" s="195">
        <v>0</v>
      </c>
      <c r="AZ6" s="195">
        <v>0</v>
      </c>
      <c r="BA6" s="214">
        <v>0.5</v>
      </c>
      <c r="BB6" s="215">
        <v>0</v>
      </c>
      <c r="BC6" s="216" t="s">
        <v>173</v>
      </c>
      <c r="BD6" s="208" t="s">
        <v>993</v>
      </c>
      <c r="BE6" s="217">
        <v>0.5</v>
      </c>
      <c r="BF6" s="218">
        <v>0.5</v>
      </c>
      <c r="BG6" s="219">
        <v>2024.0227</v>
      </c>
      <c r="BH6" s="220" t="s">
        <v>347</v>
      </c>
      <c r="BI6" s="220">
        <v>0.5</v>
      </c>
      <c r="BJ6" s="220" t="s">
        <v>321</v>
      </c>
      <c r="BK6" s="209">
        <v>0</v>
      </c>
      <c r="BL6" s="221" t="s">
        <v>321</v>
      </c>
      <c r="BM6" s="191" t="s">
        <v>370</v>
      </c>
      <c r="BN6" s="191" t="s">
        <v>1523</v>
      </c>
      <c r="BO6" s="191" t="s">
        <v>370</v>
      </c>
      <c r="BP6" s="222" t="s">
        <v>1542</v>
      </c>
      <c r="BQ6" s="222" t="s">
        <v>1651</v>
      </c>
      <c r="BR6" s="222" t="s">
        <v>1640</v>
      </c>
      <c r="BS6" s="191" t="s">
        <v>371</v>
      </c>
      <c r="BT6" s="163"/>
      <c r="BU6" s="163"/>
      <c r="BV6" s="163"/>
      <c r="BW6" s="163"/>
      <c r="BX6" s="163"/>
      <c r="BY6" s="163"/>
      <c r="BZ6" s="163"/>
      <c r="CA6" s="163"/>
      <c r="CB6" s="163"/>
      <c r="CC6" s="163"/>
      <c r="CD6" s="681"/>
      <c r="CE6" s="11" t="s">
        <v>2089</v>
      </c>
      <c r="CH6" s="11">
        <f t="shared" ref="CH6:CH69" si="1">COUNTA(BS6:CD6)</f>
        <v>1</v>
      </c>
    </row>
    <row r="7" spans="1:146" s="487" customFormat="1" x14ac:dyDescent="0.25">
      <c r="A7" s="488" t="s">
        <v>52</v>
      </c>
      <c r="B7" s="489">
        <v>365</v>
      </c>
      <c r="C7" s="490" t="s">
        <v>35</v>
      </c>
      <c r="D7" s="492">
        <v>0.5</v>
      </c>
      <c r="E7" s="493" t="s">
        <v>1915</v>
      </c>
      <c r="F7" s="493" t="s">
        <v>1915</v>
      </c>
      <c r="G7" s="493" t="s">
        <v>1915</v>
      </c>
      <c r="H7" s="493" t="s">
        <v>1940</v>
      </c>
      <c r="I7" s="494" t="s">
        <v>1712</v>
      </c>
      <c r="J7" s="494" t="s">
        <v>1087</v>
      </c>
      <c r="K7" s="494" t="s">
        <v>621</v>
      </c>
      <c r="L7" s="495">
        <v>0.05</v>
      </c>
      <c r="M7" s="495">
        <v>0.05</v>
      </c>
      <c r="N7" s="495">
        <v>0.05</v>
      </c>
      <c r="O7" s="495">
        <v>0.05</v>
      </c>
      <c r="P7" s="495">
        <v>0.05</v>
      </c>
      <c r="Q7" s="496">
        <v>0.05</v>
      </c>
      <c r="R7" s="497" t="s">
        <v>901</v>
      </c>
      <c r="S7" s="498" t="s">
        <v>1338</v>
      </c>
      <c r="T7" s="499">
        <v>0.5</v>
      </c>
      <c r="U7" s="500"/>
      <c r="V7" s="501"/>
      <c r="W7" s="501"/>
      <c r="X7" s="501"/>
      <c r="Y7" s="501"/>
      <c r="Z7" s="498" t="s">
        <v>180</v>
      </c>
      <c r="AA7" s="502" t="s">
        <v>181</v>
      </c>
      <c r="AB7" s="502" t="s">
        <v>182</v>
      </c>
      <c r="AC7" s="500">
        <v>0.5</v>
      </c>
      <c r="AD7" s="501"/>
      <c r="AE7" s="501"/>
      <c r="AF7" s="501"/>
      <c r="AG7" s="501"/>
      <c r="AH7" s="501"/>
      <c r="AI7" s="501"/>
      <c r="AJ7" s="503" t="s">
        <v>163</v>
      </c>
      <c r="AK7" s="500" t="s">
        <v>163</v>
      </c>
      <c r="AL7" s="504" t="s">
        <v>572</v>
      </c>
      <c r="AM7" s="505">
        <v>0.5</v>
      </c>
      <c r="AN7" s="498" t="s">
        <v>1203</v>
      </c>
      <c r="AO7" s="499">
        <v>0.5</v>
      </c>
      <c r="AP7" s="506" t="s">
        <v>23</v>
      </c>
      <c r="AQ7" s="500" t="s">
        <v>163</v>
      </c>
      <c r="AR7" s="507" t="s">
        <v>127</v>
      </c>
      <c r="AS7" s="507" t="s">
        <v>1778</v>
      </c>
      <c r="AT7" s="508">
        <f t="shared" si="0"/>
        <v>0.5</v>
      </c>
      <c r="AU7" s="509" t="s">
        <v>150</v>
      </c>
      <c r="AV7" s="491" t="s">
        <v>172</v>
      </c>
      <c r="AW7" s="491">
        <v>0</v>
      </c>
      <c r="AX7" s="491">
        <v>0</v>
      </c>
      <c r="AY7" s="491">
        <v>0</v>
      </c>
      <c r="AZ7" s="491">
        <v>0</v>
      </c>
      <c r="BA7" s="510">
        <v>0.5</v>
      </c>
      <c r="BB7" s="511">
        <v>0</v>
      </c>
      <c r="BC7" s="512" t="s">
        <v>173</v>
      </c>
      <c r="BD7" s="504" t="s">
        <v>995</v>
      </c>
      <c r="BE7" s="513">
        <v>0.5</v>
      </c>
      <c r="BF7" s="514">
        <v>0.5</v>
      </c>
      <c r="BG7" s="515">
        <v>2024.0184999999999</v>
      </c>
      <c r="BH7" s="516" t="s">
        <v>347</v>
      </c>
      <c r="BI7" s="516">
        <v>0.5</v>
      </c>
      <c r="BJ7" s="516" t="s">
        <v>321</v>
      </c>
      <c r="BK7" s="505">
        <v>0</v>
      </c>
      <c r="BL7" s="517" t="s">
        <v>321</v>
      </c>
      <c r="BM7" s="485" t="s">
        <v>958</v>
      </c>
      <c r="BN7" s="485" t="s">
        <v>1524</v>
      </c>
      <c r="BO7" s="485" t="s">
        <v>1525</v>
      </c>
      <c r="BP7" s="518" t="s">
        <v>941</v>
      </c>
      <c r="BQ7" s="518" t="s">
        <v>1651</v>
      </c>
      <c r="BR7" s="518" t="s">
        <v>1640</v>
      </c>
      <c r="BS7" s="486" t="s">
        <v>372</v>
      </c>
      <c r="BT7" s="486" t="s">
        <v>373</v>
      </c>
      <c r="BU7" s="486"/>
      <c r="BV7" s="486"/>
      <c r="BW7" s="486"/>
      <c r="BX7" s="486"/>
      <c r="BY7" s="486"/>
      <c r="BZ7" s="486"/>
      <c r="CA7" s="486"/>
      <c r="CB7" s="486"/>
      <c r="CC7" s="486"/>
      <c r="CD7" s="682"/>
      <c r="CE7" s="487" t="s">
        <v>2089</v>
      </c>
      <c r="CH7" s="487">
        <f t="shared" si="1"/>
        <v>2</v>
      </c>
    </row>
    <row r="8" spans="1:146" x14ac:dyDescent="0.25">
      <c r="A8" s="192" t="s">
        <v>236</v>
      </c>
      <c r="B8" s="193">
        <v>366</v>
      </c>
      <c r="C8" s="194" t="s">
        <v>36</v>
      </c>
      <c r="D8" s="196">
        <v>0.5</v>
      </c>
      <c r="E8" s="197" t="s">
        <v>1915</v>
      </c>
      <c r="F8" s="197" t="s">
        <v>1915</v>
      </c>
      <c r="G8" s="197" t="s">
        <v>1915</v>
      </c>
      <c r="H8" s="197" t="s">
        <v>1941</v>
      </c>
      <c r="I8" s="198" t="s">
        <v>1711</v>
      </c>
      <c r="J8" s="198" t="s">
        <v>1088</v>
      </c>
      <c r="K8" s="198" t="s">
        <v>620</v>
      </c>
      <c r="L8" s="199">
        <v>0.05</v>
      </c>
      <c r="M8" s="199">
        <v>0.05</v>
      </c>
      <c r="N8" s="199">
        <v>0.05</v>
      </c>
      <c r="O8" s="199">
        <v>0.05</v>
      </c>
      <c r="P8" s="199">
        <v>0.05</v>
      </c>
      <c r="Q8" s="200">
        <v>0.05</v>
      </c>
      <c r="R8" s="201" t="s">
        <v>901</v>
      </c>
      <c r="S8" s="202" t="s">
        <v>1364</v>
      </c>
      <c r="T8" s="203">
        <v>0.5</v>
      </c>
      <c r="U8" s="204"/>
      <c r="V8" s="205"/>
      <c r="W8" s="205"/>
      <c r="X8" s="205"/>
      <c r="Y8" s="205"/>
      <c r="Z8" s="202" t="s">
        <v>231</v>
      </c>
      <c r="AA8" s="206" t="s">
        <v>176</v>
      </c>
      <c r="AB8" s="206" t="s">
        <v>182</v>
      </c>
      <c r="AC8" s="204">
        <v>0.5</v>
      </c>
      <c r="AD8" s="205"/>
      <c r="AE8" s="205"/>
      <c r="AF8" s="205"/>
      <c r="AG8" s="205"/>
      <c r="AH8" s="205"/>
      <c r="AI8" s="205"/>
      <c r="AJ8" s="207" t="s">
        <v>163</v>
      </c>
      <c r="AK8" s="204" t="s">
        <v>163</v>
      </c>
      <c r="AL8" s="208" t="s">
        <v>572</v>
      </c>
      <c r="AM8" s="209">
        <v>0.5</v>
      </c>
      <c r="AN8" s="223" t="s">
        <v>1204</v>
      </c>
      <c r="AO8" s="203">
        <v>0.5</v>
      </c>
      <c r="AP8" s="210" t="s">
        <v>23</v>
      </c>
      <c r="AQ8" s="204" t="s">
        <v>163</v>
      </c>
      <c r="AR8" s="211" t="s">
        <v>119</v>
      </c>
      <c r="AS8" s="211" t="s">
        <v>1779</v>
      </c>
      <c r="AT8" s="212">
        <f t="shared" si="0"/>
        <v>0.5</v>
      </c>
      <c r="AU8" s="213" t="s">
        <v>150</v>
      </c>
      <c r="AV8" s="195" t="s">
        <v>172</v>
      </c>
      <c r="AW8" s="195">
        <v>0</v>
      </c>
      <c r="AX8" s="195">
        <v>0</v>
      </c>
      <c r="AY8" s="195">
        <v>0</v>
      </c>
      <c r="AZ8" s="195">
        <v>0</v>
      </c>
      <c r="BA8" s="214">
        <v>0.5</v>
      </c>
      <c r="BB8" s="215">
        <v>0</v>
      </c>
      <c r="BC8" s="216" t="s">
        <v>173</v>
      </c>
      <c r="BD8" s="208" t="s">
        <v>981</v>
      </c>
      <c r="BE8" s="217">
        <v>0.5</v>
      </c>
      <c r="BF8" s="218">
        <v>0.5</v>
      </c>
      <c r="BG8" s="219">
        <v>2024.0171</v>
      </c>
      <c r="BH8" s="220" t="s">
        <v>347</v>
      </c>
      <c r="BI8" s="220">
        <v>0.5</v>
      </c>
      <c r="BJ8" s="220" t="s">
        <v>320</v>
      </c>
      <c r="BK8" s="209">
        <v>0.5</v>
      </c>
      <c r="BL8" s="221" t="s">
        <v>321</v>
      </c>
      <c r="BM8" s="191" t="s">
        <v>374</v>
      </c>
      <c r="BN8" s="191" t="s">
        <v>1526</v>
      </c>
      <c r="BO8" s="191" t="s">
        <v>1527</v>
      </c>
      <c r="BP8" s="222" t="s">
        <v>942</v>
      </c>
      <c r="BQ8" s="222" t="s">
        <v>1651</v>
      </c>
      <c r="BR8" s="222" t="s">
        <v>1640</v>
      </c>
      <c r="BS8" s="191" t="s">
        <v>375</v>
      </c>
      <c r="BT8" s="191" t="s">
        <v>376</v>
      </c>
      <c r="BU8" s="163"/>
      <c r="BV8" s="163"/>
      <c r="BW8" s="163"/>
      <c r="BX8" s="163"/>
      <c r="BY8" s="163"/>
      <c r="BZ8" s="163"/>
      <c r="CA8" s="163"/>
      <c r="CB8" s="163"/>
      <c r="CC8" s="163"/>
      <c r="CD8" s="681"/>
      <c r="CE8" s="11" t="s">
        <v>2089</v>
      </c>
      <c r="CH8" s="11">
        <f t="shared" si="1"/>
        <v>2</v>
      </c>
    </row>
    <row r="9" spans="1:146" s="487" customFormat="1" x14ac:dyDescent="0.25">
      <c r="A9" s="488" t="s">
        <v>232</v>
      </c>
      <c r="B9" s="489">
        <v>367</v>
      </c>
      <c r="C9" s="490" t="s">
        <v>233</v>
      </c>
      <c r="D9" s="492">
        <v>1</v>
      </c>
      <c r="E9" s="493" t="s">
        <v>1916</v>
      </c>
      <c r="F9" s="493"/>
      <c r="G9" s="493"/>
      <c r="H9" s="493" t="s">
        <v>1942</v>
      </c>
      <c r="I9" s="494" t="s">
        <v>1708</v>
      </c>
      <c r="J9" s="494" t="s">
        <v>1089</v>
      </c>
      <c r="K9" s="494" t="s">
        <v>619</v>
      </c>
      <c r="L9" s="495">
        <v>0.1</v>
      </c>
      <c r="M9" s="495">
        <v>0.1</v>
      </c>
      <c r="N9" s="495">
        <v>0.1</v>
      </c>
      <c r="O9" s="495">
        <v>0.1</v>
      </c>
      <c r="P9" s="495">
        <v>0.1</v>
      </c>
      <c r="Q9" s="496">
        <v>0.1</v>
      </c>
      <c r="R9" s="497" t="s">
        <v>901</v>
      </c>
      <c r="S9" s="498" t="s">
        <v>1339</v>
      </c>
      <c r="T9" s="499">
        <v>1</v>
      </c>
      <c r="U9" s="500"/>
      <c r="V9" s="501"/>
      <c r="W9" s="501"/>
      <c r="X9" s="501"/>
      <c r="Y9" s="501"/>
      <c r="Z9" s="519" t="s">
        <v>907</v>
      </c>
      <c r="AA9" s="502" t="s">
        <v>176</v>
      </c>
      <c r="AB9" s="502" t="s">
        <v>182</v>
      </c>
      <c r="AC9" s="500">
        <v>1</v>
      </c>
      <c r="AD9" s="501"/>
      <c r="AE9" s="501"/>
      <c r="AF9" s="501"/>
      <c r="AG9" s="501"/>
      <c r="AH9" s="501"/>
      <c r="AI9" s="501"/>
      <c r="AJ9" s="503" t="s">
        <v>163</v>
      </c>
      <c r="AK9" s="500" t="s">
        <v>163</v>
      </c>
      <c r="AL9" s="504" t="s">
        <v>571</v>
      </c>
      <c r="AM9" s="505">
        <v>1</v>
      </c>
      <c r="AN9" s="520" t="s">
        <v>1205</v>
      </c>
      <c r="AO9" s="499">
        <v>1</v>
      </c>
      <c r="AP9" s="506" t="s">
        <v>23</v>
      </c>
      <c r="AQ9" s="500" t="s">
        <v>163</v>
      </c>
      <c r="AR9" s="507" t="s">
        <v>242</v>
      </c>
      <c r="AS9" s="507" t="s">
        <v>1780</v>
      </c>
      <c r="AT9" s="508">
        <f t="shared" si="0"/>
        <v>1</v>
      </c>
      <c r="AU9" s="509" t="s">
        <v>150</v>
      </c>
      <c r="AV9" s="491" t="s">
        <v>1265</v>
      </c>
      <c r="AW9" s="491">
        <v>1</v>
      </c>
      <c r="AX9" s="491">
        <v>1</v>
      </c>
      <c r="AY9" s="491">
        <v>1</v>
      </c>
      <c r="AZ9" s="491">
        <v>1</v>
      </c>
      <c r="BA9" s="510">
        <v>1</v>
      </c>
      <c r="BB9" s="511">
        <v>0.1</v>
      </c>
      <c r="BC9" s="512" t="s">
        <v>1013</v>
      </c>
      <c r="BD9" s="504" t="s">
        <v>163</v>
      </c>
      <c r="BE9" s="513" t="s">
        <v>163</v>
      </c>
      <c r="BF9" s="514" t="s">
        <v>163</v>
      </c>
      <c r="BG9" s="515">
        <v>2024.0229999999999</v>
      </c>
      <c r="BH9" s="516" t="s">
        <v>347</v>
      </c>
      <c r="BI9" s="516">
        <v>1</v>
      </c>
      <c r="BJ9" s="516" t="s">
        <v>320</v>
      </c>
      <c r="BK9" s="505">
        <v>1</v>
      </c>
      <c r="BL9" s="517" t="s">
        <v>321</v>
      </c>
      <c r="BM9" s="485" t="s">
        <v>377</v>
      </c>
      <c r="BN9" s="485" t="s">
        <v>1528</v>
      </c>
      <c r="BO9" s="485" t="s">
        <v>1529</v>
      </c>
      <c r="BP9" s="485" t="s">
        <v>1543</v>
      </c>
      <c r="BQ9" s="485" t="s">
        <v>1651</v>
      </c>
      <c r="BR9" s="485" t="s">
        <v>1640</v>
      </c>
      <c r="BS9" s="486" t="s">
        <v>378</v>
      </c>
      <c r="BT9" s="486" t="s">
        <v>379</v>
      </c>
      <c r="BU9" s="486" t="s">
        <v>380</v>
      </c>
      <c r="BV9" s="486" t="s">
        <v>367</v>
      </c>
      <c r="BW9" s="486"/>
      <c r="BX9" s="486"/>
      <c r="BY9" s="486"/>
      <c r="BZ9" s="486"/>
      <c r="CA9" s="486"/>
      <c r="CB9" s="486"/>
      <c r="CC9" s="486"/>
      <c r="CD9" s="682"/>
      <c r="CE9" s="487" t="s">
        <v>2089</v>
      </c>
      <c r="CH9" s="487">
        <f t="shared" si="1"/>
        <v>4</v>
      </c>
    </row>
    <row r="10" spans="1:146" x14ac:dyDescent="0.25">
      <c r="A10" s="192" t="s">
        <v>234</v>
      </c>
      <c r="B10" s="193">
        <v>368</v>
      </c>
      <c r="C10" s="194" t="s">
        <v>235</v>
      </c>
      <c r="D10" s="196">
        <v>1.5</v>
      </c>
      <c r="E10" s="197" t="s">
        <v>1916</v>
      </c>
      <c r="F10" s="197"/>
      <c r="G10" s="197"/>
      <c r="H10" s="197" t="s">
        <v>1943</v>
      </c>
      <c r="I10" s="198" t="s">
        <v>1709</v>
      </c>
      <c r="J10" s="198" t="s">
        <v>1092</v>
      </c>
      <c r="K10" s="198" t="s">
        <v>618</v>
      </c>
      <c r="L10" s="199">
        <v>0.15</v>
      </c>
      <c r="M10" s="199">
        <v>0.15</v>
      </c>
      <c r="N10" s="199">
        <v>0.15</v>
      </c>
      <c r="O10" s="199">
        <v>0.15</v>
      </c>
      <c r="P10" s="199">
        <v>0.15</v>
      </c>
      <c r="Q10" s="200">
        <v>0.15</v>
      </c>
      <c r="R10" s="201" t="s">
        <v>901</v>
      </c>
      <c r="S10" s="202" t="s">
        <v>1365</v>
      </c>
      <c r="T10" s="203">
        <v>1.5</v>
      </c>
      <c r="U10" s="204"/>
      <c r="V10" s="205"/>
      <c r="W10" s="205"/>
      <c r="X10" s="205"/>
      <c r="Y10" s="205"/>
      <c r="Z10" s="224" t="s">
        <v>908</v>
      </c>
      <c r="AA10" s="206" t="s">
        <v>176</v>
      </c>
      <c r="AB10" s="206" t="s">
        <v>182</v>
      </c>
      <c r="AC10" s="204">
        <v>1.5</v>
      </c>
      <c r="AD10" s="205"/>
      <c r="AE10" s="205"/>
      <c r="AF10" s="205"/>
      <c r="AG10" s="205"/>
      <c r="AH10" s="205"/>
      <c r="AI10" s="205"/>
      <c r="AJ10" s="207" t="s">
        <v>163</v>
      </c>
      <c r="AK10" s="204" t="s">
        <v>163</v>
      </c>
      <c r="AL10" s="208" t="s">
        <v>573</v>
      </c>
      <c r="AM10" s="209">
        <v>1.5</v>
      </c>
      <c r="AN10" s="223" t="s">
        <v>1206</v>
      </c>
      <c r="AO10" s="203">
        <v>1.5</v>
      </c>
      <c r="AP10" s="210" t="s">
        <v>23</v>
      </c>
      <c r="AQ10" s="204" t="s">
        <v>163</v>
      </c>
      <c r="AR10" s="211" t="s">
        <v>240</v>
      </c>
      <c r="AS10" s="211" t="s">
        <v>1781</v>
      </c>
      <c r="AT10" s="212">
        <f t="shared" si="0"/>
        <v>1.5</v>
      </c>
      <c r="AU10" s="213" t="s">
        <v>150</v>
      </c>
      <c r="AV10" s="195" t="s">
        <v>1266</v>
      </c>
      <c r="AW10" s="195">
        <v>1.5</v>
      </c>
      <c r="AX10" s="195">
        <v>1.5</v>
      </c>
      <c r="AY10" s="195">
        <v>1.5</v>
      </c>
      <c r="AZ10" s="195">
        <v>1.5</v>
      </c>
      <c r="BA10" s="214">
        <v>1.5</v>
      </c>
      <c r="BB10" s="215">
        <v>0.1</v>
      </c>
      <c r="BC10" s="216" t="s">
        <v>1012</v>
      </c>
      <c r="BD10" s="208" t="s">
        <v>163</v>
      </c>
      <c r="BE10" s="217" t="s">
        <v>163</v>
      </c>
      <c r="BF10" s="218" t="s">
        <v>163</v>
      </c>
      <c r="BG10" s="219">
        <v>2024.0186000000001</v>
      </c>
      <c r="BH10" s="220" t="s">
        <v>347</v>
      </c>
      <c r="BI10" s="220">
        <v>1.5</v>
      </c>
      <c r="BJ10" s="220" t="s">
        <v>321</v>
      </c>
      <c r="BK10" s="209">
        <v>0</v>
      </c>
      <c r="BL10" s="221" t="s">
        <v>321</v>
      </c>
      <c r="BM10" s="191" t="s">
        <v>381</v>
      </c>
      <c r="BN10" s="191" t="s">
        <v>1530</v>
      </c>
      <c r="BO10" s="191" t="s">
        <v>1531</v>
      </c>
      <c r="BP10" s="191" t="s">
        <v>1544</v>
      </c>
      <c r="BQ10" s="191" t="s">
        <v>1651</v>
      </c>
      <c r="BR10" s="191" t="s">
        <v>1640</v>
      </c>
      <c r="BS10" s="163" t="s">
        <v>382</v>
      </c>
      <c r="BT10" s="163" t="s">
        <v>383</v>
      </c>
      <c r="BU10" s="163" t="s">
        <v>384</v>
      </c>
      <c r="BV10" s="163" t="s">
        <v>385</v>
      </c>
      <c r="BW10" s="163" t="s">
        <v>386</v>
      </c>
      <c r="BX10" s="163" t="s">
        <v>367</v>
      </c>
      <c r="BY10" s="163"/>
      <c r="BZ10" s="163"/>
      <c r="CA10" s="163"/>
      <c r="CB10" s="163"/>
      <c r="CC10" s="163"/>
      <c r="CD10" s="681"/>
      <c r="CE10" s="11" t="s">
        <v>2089</v>
      </c>
      <c r="CH10" s="11">
        <f t="shared" si="1"/>
        <v>6</v>
      </c>
    </row>
    <row r="11" spans="1:146" s="522" customFormat="1" x14ac:dyDescent="0.25">
      <c r="A11" s="488" t="s">
        <v>290</v>
      </c>
      <c r="B11" s="489">
        <v>369</v>
      </c>
      <c r="C11" s="490" t="s">
        <v>291</v>
      </c>
      <c r="D11" s="492">
        <v>0.5</v>
      </c>
      <c r="E11" s="493" t="s">
        <v>1915</v>
      </c>
      <c r="F11" s="493" t="s">
        <v>1915</v>
      </c>
      <c r="G11" s="493" t="s">
        <v>1915</v>
      </c>
      <c r="H11" s="493" t="s">
        <v>1989</v>
      </c>
      <c r="I11" s="494" t="s">
        <v>1691</v>
      </c>
      <c r="J11" s="494" t="s">
        <v>1095</v>
      </c>
      <c r="K11" s="494" t="s">
        <v>632</v>
      </c>
      <c r="L11" s="495">
        <v>0.05</v>
      </c>
      <c r="M11" s="495">
        <v>0.05</v>
      </c>
      <c r="N11" s="495">
        <v>0.05</v>
      </c>
      <c r="O11" s="495">
        <v>0.05</v>
      </c>
      <c r="P11" s="495">
        <v>0.05</v>
      </c>
      <c r="Q11" s="496">
        <v>0.05</v>
      </c>
      <c r="R11" s="497" t="s">
        <v>901</v>
      </c>
      <c r="S11" s="498" t="s">
        <v>1366</v>
      </c>
      <c r="T11" s="502">
        <v>0.5</v>
      </c>
      <c r="U11" s="509"/>
      <c r="V11" s="521"/>
      <c r="W11" s="521"/>
      <c r="X11" s="521"/>
      <c r="Y11" s="521"/>
      <c r="Z11" s="519" t="s">
        <v>909</v>
      </c>
      <c r="AA11" s="502" t="s">
        <v>176</v>
      </c>
      <c r="AB11" s="502" t="s">
        <v>182</v>
      </c>
      <c r="AC11" s="509">
        <v>0.5</v>
      </c>
      <c r="AD11" s="521"/>
      <c r="AE11" s="521"/>
      <c r="AF11" s="521"/>
      <c r="AG11" s="521"/>
      <c r="AH11" s="521"/>
      <c r="AI11" s="521"/>
      <c r="AJ11" s="498" t="s">
        <v>163</v>
      </c>
      <c r="AK11" s="509" t="s">
        <v>163</v>
      </c>
      <c r="AL11" s="504" t="s">
        <v>572</v>
      </c>
      <c r="AM11" s="505">
        <v>0.5</v>
      </c>
      <c r="AN11" s="520" t="s">
        <v>1207</v>
      </c>
      <c r="AO11" s="499">
        <v>0.5</v>
      </c>
      <c r="AP11" s="506" t="s">
        <v>23</v>
      </c>
      <c r="AQ11" s="500" t="s">
        <v>163</v>
      </c>
      <c r="AR11" s="507" t="s">
        <v>357</v>
      </c>
      <c r="AS11" s="507" t="s">
        <v>1782</v>
      </c>
      <c r="AT11" s="508">
        <f t="shared" si="0"/>
        <v>0.5</v>
      </c>
      <c r="AU11" s="509" t="s">
        <v>150</v>
      </c>
      <c r="AV11" s="491" t="s">
        <v>172</v>
      </c>
      <c r="AW11" s="491">
        <v>0</v>
      </c>
      <c r="AX11" s="491">
        <v>0</v>
      </c>
      <c r="AY11" s="491">
        <v>0</v>
      </c>
      <c r="AZ11" s="491">
        <v>0</v>
      </c>
      <c r="BA11" s="510">
        <v>0.5</v>
      </c>
      <c r="BB11" s="511">
        <v>0</v>
      </c>
      <c r="BC11" s="512" t="s">
        <v>173</v>
      </c>
      <c r="BD11" s="504" t="s">
        <v>163</v>
      </c>
      <c r="BE11" s="513" t="s">
        <v>163</v>
      </c>
      <c r="BF11" s="514" t="s">
        <v>163</v>
      </c>
      <c r="BG11" s="515">
        <v>2024.0228</v>
      </c>
      <c r="BH11" s="516" t="s">
        <v>348</v>
      </c>
      <c r="BI11" s="516">
        <v>0.5</v>
      </c>
      <c r="BJ11" s="516" t="s">
        <v>321</v>
      </c>
      <c r="BK11" s="505">
        <v>0</v>
      </c>
      <c r="BL11" s="517" t="s">
        <v>321</v>
      </c>
      <c r="BM11" s="485" t="s">
        <v>387</v>
      </c>
      <c r="BN11" s="485" t="s">
        <v>1532</v>
      </c>
      <c r="BO11" s="485" t="s">
        <v>1533</v>
      </c>
      <c r="BP11" s="485" t="s">
        <v>1545</v>
      </c>
      <c r="BQ11" s="485" t="s">
        <v>1651</v>
      </c>
      <c r="BR11" s="485" t="s">
        <v>1640</v>
      </c>
      <c r="BS11" s="486" t="s">
        <v>388</v>
      </c>
      <c r="BT11" s="486" t="s">
        <v>389</v>
      </c>
      <c r="BU11" s="486" t="s">
        <v>531</v>
      </c>
      <c r="BV11" s="486" t="s">
        <v>367</v>
      </c>
      <c r="BW11" s="486"/>
      <c r="BX11" s="486"/>
      <c r="BY11" s="486"/>
      <c r="BZ11" s="486"/>
      <c r="CA11" s="486"/>
      <c r="CB11" s="486"/>
      <c r="CC11" s="486"/>
      <c r="CD11" s="682"/>
      <c r="CE11" s="487" t="s">
        <v>2089</v>
      </c>
      <c r="CF11" s="487"/>
      <c r="CG11" s="487"/>
      <c r="CH11" s="487">
        <f t="shared" si="1"/>
        <v>4</v>
      </c>
      <c r="CI11" s="487"/>
      <c r="CJ11" s="487"/>
      <c r="CK11" s="487"/>
      <c r="CL11" s="487"/>
      <c r="CM11" s="487"/>
      <c r="CN11" s="487"/>
      <c r="CO11" s="487"/>
      <c r="CP11" s="487"/>
      <c r="CQ11" s="487"/>
      <c r="CR11" s="487"/>
      <c r="CS11" s="487"/>
      <c r="CT11" s="487"/>
      <c r="CU11" s="487"/>
      <c r="CV11" s="487"/>
      <c r="CW11" s="487"/>
      <c r="CX11" s="487"/>
      <c r="CY11" s="487"/>
      <c r="CZ11" s="487"/>
      <c r="DA11" s="487"/>
      <c r="DB11" s="487"/>
      <c r="DC11" s="487"/>
      <c r="DD11" s="487"/>
      <c r="DE11" s="487"/>
      <c r="DF11" s="487"/>
      <c r="DG11" s="487"/>
      <c r="DH11" s="487"/>
      <c r="DI11" s="487"/>
      <c r="DJ11" s="487"/>
      <c r="DK11" s="487"/>
      <c r="DL11" s="487"/>
      <c r="DM11" s="487"/>
      <c r="DN11" s="487"/>
      <c r="DO11" s="487"/>
      <c r="DP11" s="487"/>
      <c r="DQ11" s="487"/>
      <c r="DR11" s="487"/>
      <c r="DS11" s="487"/>
      <c r="DT11" s="487"/>
      <c r="DU11" s="487"/>
      <c r="DV11" s="487"/>
      <c r="DW11" s="487"/>
      <c r="DX11" s="487"/>
      <c r="DY11" s="487"/>
      <c r="DZ11" s="487"/>
      <c r="EA11" s="487"/>
      <c r="EB11" s="487"/>
      <c r="EC11" s="487"/>
      <c r="ED11" s="487"/>
      <c r="EE11" s="487"/>
      <c r="EF11" s="487"/>
      <c r="EG11" s="487"/>
      <c r="EH11" s="487"/>
      <c r="EI11" s="487"/>
      <c r="EJ11" s="487"/>
      <c r="EK11" s="487"/>
      <c r="EL11" s="487"/>
      <c r="EM11" s="487"/>
      <c r="EN11" s="487"/>
      <c r="EO11" s="487"/>
      <c r="EP11" s="487"/>
    </row>
    <row r="12" spans="1:146" s="13" customFormat="1" x14ac:dyDescent="0.25">
      <c r="A12" s="164" t="s">
        <v>1654</v>
      </c>
      <c r="B12" s="165">
        <v>370</v>
      </c>
      <c r="C12" s="226" t="s">
        <v>1657</v>
      </c>
      <c r="D12" s="227">
        <v>2</v>
      </c>
      <c r="E12" s="167" t="s">
        <v>1916</v>
      </c>
      <c r="F12" s="167"/>
      <c r="G12" s="167"/>
      <c r="H12" s="167" t="s">
        <v>1998</v>
      </c>
      <c r="I12" s="168" t="s">
        <v>1669</v>
      </c>
      <c r="J12" s="168" t="s">
        <v>1662</v>
      </c>
      <c r="K12" s="168" t="s">
        <v>1753</v>
      </c>
      <c r="L12" s="169">
        <v>0.2</v>
      </c>
      <c r="M12" s="169">
        <v>0</v>
      </c>
      <c r="N12" s="169">
        <v>0.2</v>
      </c>
      <c r="O12" s="169">
        <v>0.2</v>
      </c>
      <c r="P12" s="169">
        <v>0</v>
      </c>
      <c r="Q12" s="170">
        <v>0</v>
      </c>
      <c r="R12" s="201" t="s">
        <v>901</v>
      </c>
      <c r="S12" s="171" t="s">
        <v>2063</v>
      </c>
      <c r="T12" s="176"/>
      <c r="U12" s="183"/>
      <c r="V12" s="14"/>
      <c r="W12" s="14"/>
      <c r="X12" s="14"/>
      <c r="Y12" s="14"/>
      <c r="Z12" s="175" t="s">
        <v>2063</v>
      </c>
      <c r="AA12" s="176"/>
      <c r="AB12" s="176"/>
      <c r="AC12" s="183"/>
      <c r="AD12" s="14"/>
      <c r="AE12" s="14"/>
      <c r="AF12" s="14"/>
      <c r="AG12" s="14"/>
      <c r="AH12" s="14"/>
      <c r="AI12" s="14"/>
      <c r="AJ12" s="171" t="s">
        <v>163</v>
      </c>
      <c r="AK12" s="183" t="s">
        <v>163</v>
      </c>
      <c r="AL12" s="178" t="s">
        <v>574</v>
      </c>
      <c r="AM12" s="179">
        <v>2</v>
      </c>
      <c r="AN12" s="228" t="s">
        <v>1935</v>
      </c>
      <c r="AO12" s="172">
        <v>2</v>
      </c>
      <c r="AP12" s="180" t="s">
        <v>23</v>
      </c>
      <c r="AQ12" s="173" t="s">
        <v>163</v>
      </c>
      <c r="AR12" s="181"/>
      <c r="AS12" s="181" t="s">
        <v>1783</v>
      </c>
      <c r="AT12" s="182">
        <v>2</v>
      </c>
      <c r="AU12" s="183" t="s">
        <v>158</v>
      </c>
      <c r="AV12" s="166" t="s">
        <v>163</v>
      </c>
      <c r="AW12" s="166" t="s">
        <v>163</v>
      </c>
      <c r="AX12" s="166" t="s">
        <v>163</v>
      </c>
      <c r="AY12" s="166" t="s">
        <v>163</v>
      </c>
      <c r="AZ12" s="166" t="s">
        <v>163</v>
      </c>
      <c r="BA12" s="229"/>
      <c r="BB12" s="184" t="s">
        <v>163</v>
      </c>
      <c r="BC12" s="185" t="s">
        <v>163</v>
      </c>
      <c r="BD12" s="178" t="s">
        <v>163</v>
      </c>
      <c r="BE12" s="186" t="s">
        <v>163</v>
      </c>
      <c r="BF12" s="187" t="s">
        <v>163</v>
      </c>
      <c r="BG12" s="188">
        <v>2024.0160000000001</v>
      </c>
      <c r="BH12" s="189" t="s">
        <v>23</v>
      </c>
      <c r="BI12" s="189">
        <v>2</v>
      </c>
      <c r="BJ12" s="189" t="s">
        <v>320</v>
      </c>
      <c r="BK12" s="179">
        <v>2</v>
      </c>
      <c r="BL12" s="190" t="s">
        <v>321</v>
      </c>
      <c r="BM12" s="191" t="s">
        <v>1663</v>
      </c>
      <c r="BN12" s="191"/>
      <c r="BO12" s="191" t="s">
        <v>2066</v>
      </c>
      <c r="BP12" s="191" t="s">
        <v>1928</v>
      </c>
      <c r="BQ12" s="191" t="s">
        <v>1653</v>
      </c>
      <c r="BR12" s="191" t="s">
        <v>1640</v>
      </c>
      <c r="BS12" s="163" t="s">
        <v>1931</v>
      </c>
      <c r="BT12" s="163"/>
      <c r="BU12" s="163"/>
      <c r="BV12" s="163"/>
      <c r="BW12" s="163"/>
      <c r="BX12" s="163"/>
      <c r="BY12" s="163"/>
      <c r="BZ12" s="163"/>
      <c r="CA12" s="163"/>
      <c r="CB12" s="163"/>
      <c r="CC12" s="163"/>
      <c r="CD12" s="681"/>
      <c r="CE12" s="11" t="s">
        <v>2090</v>
      </c>
      <c r="CF12" s="11"/>
      <c r="CG12" s="11"/>
      <c r="CH12" s="11">
        <f t="shared" si="1"/>
        <v>1</v>
      </c>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row>
    <row r="13" spans="1:146" s="522" customFormat="1" x14ac:dyDescent="0.25">
      <c r="A13" s="454" t="s">
        <v>1655</v>
      </c>
      <c r="B13" s="455">
        <v>371</v>
      </c>
      <c r="C13" s="523" t="s">
        <v>1658</v>
      </c>
      <c r="D13" s="524">
        <v>2</v>
      </c>
      <c r="E13" s="459" t="s">
        <v>1917</v>
      </c>
      <c r="F13" s="459"/>
      <c r="G13" s="459"/>
      <c r="H13" s="459" t="s">
        <v>1999</v>
      </c>
      <c r="I13" s="460" t="s">
        <v>1668</v>
      </c>
      <c r="J13" s="460" t="s">
        <v>1661</v>
      </c>
      <c r="K13" s="460" t="s">
        <v>1753</v>
      </c>
      <c r="L13" s="461">
        <v>0.2</v>
      </c>
      <c r="M13" s="461">
        <v>0</v>
      </c>
      <c r="N13" s="461">
        <v>0.2</v>
      </c>
      <c r="O13" s="461">
        <v>0.2</v>
      </c>
      <c r="P13" s="461">
        <v>0</v>
      </c>
      <c r="Q13" s="462">
        <v>0</v>
      </c>
      <c r="R13" s="463" t="s">
        <v>901</v>
      </c>
      <c r="S13" s="464" t="s">
        <v>2063</v>
      </c>
      <c r="T13" s="469"/>
      <c r="U13" s="476"/>
      <c r="V13" s="525"/>
      <c r="W13" s="525"/>
      <c r="X13" s="525"/>
      <c r="Y13" s="525"/>
      <c r="Z13" s="468" t="s">
        <v>2063</v>
      </c>
      <c r="AA13" s="469"/>
      <c r="AB13" s="469"/>
      <c r="AC13" s="476"/>
      <c r="AD13" s="525"/>
      <c r="AE13" s="525"/>
      <c r="AF13" s="525"/>
      <c r="AG13" s="525"/>
      <c r="AH13" s="525"/>
      <c r="AI13" s="525"/>
      <c r="AJ13" s="464" t="s">
        <v>163</v>
      </c>
      <c r="AK13" s="476" t="s">
        <v>163</v>
      </c>
      <c r="AL13" s="471" t="s">
        <v>574</v>
      </c>
      <c r="AM13" s="472">
        <v>2</v>
      </c>
      <c r="AN13" s="526" t="s">
        <v>2140</v>
      </c>
      <c r="AO13" s="465">
        <v>2</v>
      </c>
      <c r="AP13" s="473" t="s">
        <v>23</v>
      </c>
      <c r="AQ13" s="466" t="s">
        <v>163</v>
      </c>
      <c r="AR13" s="474"/>
      <c r="AS13" s="474" t="s">
        <v>1784</v>
      </c>
      <c r="AT13" s="475">
        <v>2</v>
      </c>
      <c r="AU13" s="476" t="s">
        <v>158</v>
      </c>
      <c r="AV13" s="457" t="s">
        <v>163</v>
      </c>
      <c r="AW13" s="457" t="s">
        <v>163</v>
      </c>
      <c r="AX13" s="457" t="s">
        <v>163</v>
      </c>
      <c r="AY13" s="457" t="s">
        <v>163</v>
      </c>
      <c r="AZ13" s="457" t="s">
        <v>163</v>
      </c>
      <c r="BA13" s="527"/>
      <c r="BB13" s="478" t="s">
        <v>163</v>
      </c>
      <c r="BC13" s="479" t="s">
        <v>163</v>
      </c>
      <c r="BD13" s="471" t="s">
        <v>163</v>
      </c>
      <c r="BE13" s="480" t="s">
        <v>163</v>
      </c>
      <c r="BF13" s="481" t="s">
        <v>163</v>
      </c>
      <c r="BG13" s="482">
        <v>2024.0161000000001</v>
      </c>
      <c r="BH13" s="483" t="s">
        <v>23</v>
      </c>
      <c r="BI13" s="483">
        <v>2</v>
      </c>
      <c r="BJ13" s="483" t="s">
        <v>320</v>
      </c>
      <c r="BK13" s="472">
        <v>2</v>
      </c>
      <c r="BL13" s="484" t="s">
        <v>321</v>
      </c>
      <c r="BM13" s="485" t="s">
        <v>1664</v>
      </c>
      <c r="BN13" s="485"/>
      <c r="BO13" s="485"/>
      <c r="BP13" s="485" t="s">
        <v>1929</v>
      </c>
      <c r="BQ13" s="485" t="s">
        <v>1653</v>
      </c>
      <c r="BR13" s="485" t="s">
        <v>1640</v>
      </c>
      <c r="BS13" s="486" t="s">
        <v>1932</v>
      </c>
      <c r="BT13" s="486"/>
      <c r="BU13" s="486"/>
      <c r="BV13" s="486"/>
      <c r="BW13" s="486"/>
      <c r="BX13" s="486"/>
      <c r="BY13" s="486"/>
      <c r="BZ13" s="486"/>
      <c r="CA13" s="486"/>
      <c r="CB13" s="486"/>
      <c r="CC13" s="486"/>
      <c r="CD13" s="682"/>
      <c r="CE13" s="487" t="s">
        <v>2090</v>
      </c>
      <c r="CF13" s="487"/>
      <c r="CG13" s="487"/>
      <c r="CH13" s="487">
        <f t="shared" si="1"/>
        <v>1</v>
      </c>
      <c r="CI13" s="487"/>
      <c r="CJ13" s="487"/>
      <c r="CK13" s="487"/>
      <c r="CL13" s="487"/>
      <c r="CM13" s="487"/>
      <c r="CN13" s="487"/>
      <c r="CO13" s="487"/>
      <c r="CP13" s="487"/>
      <c r="CQ13" s="487"/>
      <c r="CR13" s="487"/>
      <c r="CS13" s="487"/>
      <c r="CT13" s="487"/>
      <c r="CU13" s="487"/>
      <c r="CV13" s="487"/>
      <c r="CW13" s="487"/>
      <c r="CX13" s="487"/>
      <c r="CY13" s="487"/>
      <c r="CZ13" s="487"/>
      <c r="DA13" s="487"/>
      <c r="DB13" s="487"/>
      <c r="DC13" s="487"/>
      <c r="DD13" s="487"/>
      <c r="DE13" s="487"/>
      <c r="DF13" s="487"/>
      <c r="DG13" s="487"/>
      <c r="DH13" s="487"/>
      <c r="DI13" s="487"/>
      <c r="DJ13" s="487"/>
      <c r="DK13" s="487"/>
      <c r="DL13" s="487"/>
      <c r="DM13" s="487"/>
      <c r="DN13" s="487"/>
      <c r="DO13" s="487"/>
      <c r="DP13" s="487"/>
      <c r="DQ13" s="487"/>
      <c r="DR13" s="487"/>
      <c r="DS13" s="487"/>
      <c r="DT13" s="487"/>
      <c r="DU13" s="487"/>
      <c r="DV13" s="487"/>
      <c r="DW13" s="487"/>
      <c r="DX13" s="487"/>
      <c r="DY13" s="487"/>
      <c r="DZ13" s="487"/>
      <c r="EA13" s="487"/>
      <c r="EB13" s="487"/>
      <c r="EC13" s="487"/>
      <c r="ED13" s="487"/>
      <c r="EE13" s="487"/>
      <c r="EF13" s="487"/>
      <c r="EG13" s="487"/>
      <c r="EH13" s="487"/>
      <c r="EI13" s="487"/>
      <c r="EJ13" s="487"/>
      <c r="EK13" s="487"/>
      <c r="EL13" s="487"/>
      <c r="EM13" s="487"/>
      <c r="EN13" s="487"/>
      <c r="EO13" s="487"/>
      <c r="EP13" s="487"/>
    </row>
    <row r="14" spans="1:146" ht="13.8" thickBot="1" x14ac:dyDescent="0.3">
      <c r="A14" s="230" t="s">
        <v>1656</v>
      </c>
      <c r="B14" s="231">
        <v>372</v>
      </c>
      <c r="C14" s="232" t="s">
        <v>1659</v>
      </c>
      <c r="D14" s="234">
        <v>2</v>
      </c>
      <c r="E14" s="235" t="s">
        <v>1917</v>
      </c>
      <c r="F14" s="235"/>
      <c r="G14" s="235"/>
      <c r="H14" s="235" t="s">
        <v>2000</v>
      </c>
      <c r="I14" s="236" t="s">
        <v>1710</v>
      </c>
      <c r="J14" s="236" t="s">
        <v>1660</v>
      </c>
      <c r="K14" s="236" t="s">
        <v>1753</v>
      </c>
      <c r="L14" s="237">
        <v>0.2</v>
      </c>
      <c r="M14" s="237">
        <v>0</v>
      </c>
      <c r="N14" s="237">
        <v>0.2</v>
      </c>
      <c r="O14" s="237">
        <v>0.2</v>
      </c>
      <c r="P14" s="237">
        <v>0</v>
      </c>
      <c r="Q14" s="238">
        <v>0</v>
      </c>
      <c r="R14" s="201" t="s">
        <v>901</v>
      </c>
      <c r="S14" s="240" t="s">
        <v>2063</v>
      </c>
      <c r="T14" s="241"/>
      <c r="U14" s="242"/>
      <c r="V14" s="243"/>
      <c r="W14" s="243"/>
      <c r="X14" s="243"/>
      <c r="Y14" s="243"/>
      <c r="Z14" s="244" t="s">
        <v>2063</v>
      </c>
      <c r="AA14" s="241"/>
      <c r="AB14" s="241"/>
      <c r="AC14" s="242"/>
      <c r="AD14" s="243"/>
      <c r="AE14" s="243"/>
      <c r="AF14" s="243"/>
      <c r="AG14" s="243"/>
      <c r="AH14" s="243"/>
      <c r="AI14" s="243"/>
      <c r="AJ14" s="240" t="s">
        <v>163</v>
      </c>
      <c r="AK14" s="242" t="s">
        <v>163</v>
      </c>
      <c r="AL14" s="245" t="s">
        <v>574</v>
      </c>
      <c r="AM14" s="246">
        <v>2</v>
      </c>
      <c r="AN14" s="247" t="s">
        <v>1936</v>
      </c>
      <c r="AO14" s="248">
        <v>2</v>
      </c>
      <c r="AP14" s="249" t="s">
        <v>23</v>
      </c>
      <c r="AQ14" s="250" t="s">
        <v>163</v>
      </c>
      <c r="AR14" s="251"/>
      <c r="AS14" s="251" t="s">
        <v>1785</v>
      </c>
      <c r="AT14" s="252">
        <v>2</v>
      </c>
      <c r="AU14" s="253" t="s">
        <v>158</v>
      </c>
      <c r="AV14" s="233" t="s">
        <v>163</v>
      </c>
      <c r="AW14" s="233" t="s">
        <v>163</v>
      </c>
      <c r="AX14" s="233" t="s">
        <v>163</v>
      </c>
      <c r="AY14" s="233" t="s">
        <v>163</v>
      </c>
      <c r="AZ14" s="233" t="s">
        <v>163</v>
      </c>
      <c r="BA14" s="254"/>
      <c r="BB14" s="255" t="s">
        <v>163</v>
      </c>
      <c r="BC14" s="256" t="s">
        <v>163</v>
      </c>
      <c r="BD14" s="245" t="s">
        <v>163</v>
      </c>
      <c r="BE14" s="257" t="s">
        <v>163</v>
      </c>
      <c r="BF14" s="258" t="s">
        <v>163</v>
      </c>
      <c r="BG14" s="259">
        <v>2024.0162</v>
      </c>
      <c r="BH14" s="260" t="s">
        <v>23</v>
      </c>
      <c r="BI14" s="260">
        <v>2</v>
      </c>
      <c r="BJ14" s="260" t="s">
        <v>321</v>
      </c>
      <c r="BK14" s="246">
        <v>0</v>
      </c>
      <c r="BL14" s="261" t="s">
        <v>321</v>
      </c>
      <c r="BM14" s="262" t="s">
        <v>1741</v>
      </c>
      <c r="BN14" s="262"/>
      <c r="BO14" s="262"/>
      <c r="BP14" s="262" t="s">
        <v>1930</v>
      </c>
      <c r="BQ14" s="262" t="s">
        <v>1653</v>
      </c>
      <c r="BR14" s="262" t="s">
        <v>1640</v>
      </c>
      <c r="BS14" s="263" t="s">
        <v>1933</v>
      </c>
      <c r="BT14" s="263"/>
      <c r="BU14" s="263"/>
      <c r="BV14" s="263"/>
      <c r="BW14" s="263"/>
      <c r="BX14" s="263"/>
      <c r="BY14" s="263"/>
      <c r="BZ14" s="263"/>
      <c r="CA14" s="263"/>
      <c r="CB14" s="263"/>
      <c r="CC14" s="263"/>
      <c r="CD14" s="683"/>
      <c r="CE14" s="11" t="s">
        <v>2090</v>
      </c>
      <c r="CH14" s="11">
        <f t="shared" si="1"/>
        <v>1</v>
      </c>
    </row>
    <row r="15" spans="1:146" ht="13.8" thickBot="1" x14ac:dyDescent="0.3">
      <c r="A15" s="133"/>
      <c r="B15" s="264"/>
      <c r="C15" s="108" t="s">
        <v>37</v>
      </c>
      <c r="D15" s="265"/>
      <c r="E15" s="143"/>
      <c r="F15" s="143"/>
      <c r="G15" s="143"/>
      <c r="H15" s="143"/>
      <c r="I15" s="266"/>
      <c r="J15" s="266"/>
      <c r="K15" s="266"/>
      <c r="L15" s="136"/>
      <c r="M15" s="136"/>
      <c r="N15" s="136"/>
      <c r="O15" s="136"/>
      <c r="P15" s="136"/>
      <c r="Q15" s="138"/>
      <c r="R15" s="139"/>
      <c r="S15" s="140"/>
      <c r="T15" s="141"/>
      <c r="U15" s="142"/>
      <c r="V15" s="143"/>
      <c r="W15" s="143"/>
      <c r="X15" s="143"/>
      <c r="Y15" s="143"/>
      <c r="Z15" s="140"/>
      <c r="AA15" s="144"/>
      <c r="AB15" s="144"/>
      <c r="AC15" s="142"/>
      <c r="AD15" s="143"/>
      <c r="AE15" s="143"/>
      <c r="AF15" s="143"/>
      <c r="AG15" s="143"/>
      <c r="AH15" s="143"/>
      <c r="AI15" s="143"/>
      <c r="AJ15" s="145"/>
      <c r="AK15" s="142"/>
      <c r="AL15" s="146"/>
      <c r="AM15" s="147"/>
      <c r="AN15" s="110"/>
      <c r="AO15" s="148"/>
      <c r="AP15" s="149"/>
      <c r="AQ15" s="267"/>
      <c r="AR15" s="151"/>
      <c r="AS15" s="151"/>
      <c r="AT15" s="152"/>
      <c r="AU15" s="153"/>
      <c r="AV15" s="154"/>
      <c r="AW15" s="154"/>
      <c r="AX15" s="154"/>
      <c r="AY15" s="154"/>
      <c r="AZ15" s="154"/>
      <c r="BA15" s="155"/>
      <c r="BB15" s="268"/>
      <c r="BC15" s="156"/>
      <c r="BD15" s="146"/>
      <c r="BE15" s="157"/>
      <c r="BF15" s="158"/>
      <c r="BG15" s="159"/>
      <c r="BH15" s="160"/>
      <c r="BI15" s="160"/>
      <c r="BJ15" s="160"/>
      <c r="BK15" s="147"/>
      <c r="BL15" s="161"/>
      <c r="BM15" s="269"/>
      <c r="BN15" s="135"/>
      <c r="BO15" s="135"/>
      <c r="BP15" s="135"/>
      <c r="BQ15" s="135"/>
      <c r="BR15" s="135"/>
      <c r="BS15" s="270"/>
      <c r="BT15" s="270"/>
      <c r="BU15" s="270"/>
      <c r="BV15" s="270"/>
      <c r="BW15" s="270"/>
      <c r="BX15" s="270"/>
      <c r="BY15" s="270"/>
      <c r="BZ15" s="270"/>
      <c r="CA15" s="270"/>
      <c r="CB15" s="270"/>
      <c r="CC15" s="270"/>
      <c r="CD15" s="270"/>
    </row>
    <row r="16" spans="1:146" s="487" customFormat="1" x14ac:dyDescent="0.25">
      <c r="A16" s="454" t="s">
        <v>53</v>
      </c>
      <c r="B16" s="455">
        <v>373</v>
      </c>
      <c r="C16" s="528" t="s">
        <v>0</v>
      </c>
      <c r="D16" s="458">
        <v>2</v>
      </c>
      <c r="E16" s="459" t="s">
        <v>1915</v>
      </c>
      <c r="F16" s="459" t="s">
        <v>1915</v>
      </c>
      <c r="G16" s="459" t="s">
        <v>1915</v>
      </c>
      <c r="H16" s="459" t="s">
        <v>1988</v>
      </c>
      <c r="I16" s="460" t="s">
        <v>1692</v>
      </c>
      <c r="J16" s="460" t="s">
        <v>1091</v>
      </c>
      <c r="K16" s="460" t="s">
        <v>635</v>
      </c>
      <c r="L16" s="461">
        <v>0.2</v>
      </c>
      <c r="M16" s="461">
        <v>0.2</v>
      </c>
      <c r="N16" s="461">
        <v>0.2</v>
      </c>
      <c r="O16" s="461">
        <v>0.2</v>
      </c>
      <c r="P16" s="461">
        <v>0.2</v>
      </c>
      <c r="Q16" s="462">
        <v>0.2</v>
      </c>
      <c r="R16" s="463" t="s">
        <v>901</v>
      </c>
      <c r="S16" s="464" t="s">
        <v>1340</v>
      </c>
      <c r="T16" s="465">
        <v>2</v>
      </c>
      <c r="U16" s="466"/>
      <c r="V16" s="467"/>
      <c r="W16" s="467"/>
      <c r="X16" s="467"/>
      <c r="Y16" s="467"/>
      <c r="Z16" s="464" t="s">
        <v>183</v>
      </c>
      <c r="AA16" s="469" t="s">
        <v>176</v>
      </c>
      <c r="AB16" s="469" t="s">
        <v>182</v>
      </c>
      <c r="AC16" s="466">
        <v>1.5</v>
      </c>
      <c r="AD16" s="467"/>
      <c r="AE16" s="467"/>
      <c r="AF16" s="467"/>
      <c r="AG16" s="467"/>
      <c r="AH16" s="467"/>
      <c r="AI16" s="467"/>
      <c r="AJ16" s="470" t="s">
        <v>163</v>
      </c>
      <c r="AK16" s="466" t="s">
        <v>163</v>
      </c>
      <c r="AL16" s="471" t="s">
        <v>574</v>
      </c>
      <c r="AM16" s="472">
        <v>2</v>
      </c>
      <c r="AN16" s="526" t="s">
        <v>1208</v>
      </c>
      <c r="AO16" s="465">
        <v>2</v>
      </c>
      <c r="AP16" s="473" t="s">
        <v>23</v>
      </c>
      <c r="AQ16" s="466" t="s">
        <v>163</v>
      </c>
      <c r="AR16" s="474" t="s">
        <v>143</v>
      </c>
      <c r="AS16" s="474" t="s">
        <v>1786</v>
      </c>
      <c r="AT16" s="475">
        <f t="shared" ref="AT16:AT22" si="2">L16*10</f>
        <v>2</v>
      </c>
      <c r="AU16" s="476" t="s">
        <v>150</v>
      </c>
      <c r="AV16" s="457" t="s">
        <v>1267</v>
      </c>
      <c r="AW16" s="457">
        <v>2</v>
      </c>
      <c r="AX16" s="457">
        <v>2</v>
      </c>
      <c r="AY16" s="457">
        <v>2</v>
      </c>
      <c r="AZ16" s="457">
        <v>2</v>
      </c>
      <c r="BA16" s="527">
        <v>2</v>
      </c>
      <c r="BB16" s="478">
        <v>0.2</v>
      </c>
      <c r="BC16" s="479" t="s">
        <v>1011</v>
      </c>
      <c r="BD16" s="471" t="s">
        <v>1004</v>
      </c>
      <c r="BE16" s="480">
        <v>1.5</v>
      </c>
      <c r="BF16" s="481">
        <v>1.5</v>
      </c>
      <c r="BG16" s="482">
        <v>2024.0219</v>
      </c>
      <c r="BH16" s="483" t="s">
        <v>347</v>
      </c>
      <c r="BI16" s="483">
        <v>2</v>
      </c>
      <c r="BJ16" s="483" t="s">
        <v>320</v>
      </c>
      <c r="BK16" s="472">
        <v>2</v>
      </c>
      <c r="BL16" s="484" t="s">
        <v>321</v>
      </c>
      <c r="BM16" s="529" t="s">
        <v>390</v>
      </c>
      <c r="BN16" s="529" t="s">
        <v>1474</v>
      </c>
      <c r="BO16" s="529" t="s">
        <v>1475</v>
      </c>
      <c r="BP16" s="529" t="s">
        <v>931</v>
      </c>
      <c r="BQ16" s="529" t="s">
        <v>1651</v>
      </c>
      <c r="BR16" s="529" t="s">
        <v>1641</v>
      </c>
      <c r="BS16" s="529" t="s">
        <v>391</v>
      </c>
      <c r="BT16" s="529" t="s">
        <v>392</v>
      </c>
      <c r="BU16" s="529" t="s">
        <v>393</v>
      </c>
      <c r="BV16" s="529" t="s">
        <v>394</v>
      </c>
      <c r="BW16" s="529" t="s">
        <v>395</v>
      </c>
      <c r="BX16" s="529" t="s">
        <v>396</v>
      </c>
      <c r="BY16" s="529" t="s">
        <v>397</v>
      </c>
      <c r="BZ16" s="529" t="s">
        <v>398</v>
      </c>
      <c r="CA16" s="529"/>
      <c r="CB16" s="529"/>
      <c r="CC16" s="529"/>
      <c r="CD16" s="684"/>
      <c r="CE16" s="487" t="s">
        <v>2091</v>
      </c>
      <c r="CH16" s="487">
        <f t="shared" si="1"/>
        <v>8</v>
      </c>
    </row>
    <row r="17" spans="1:86" x14ac:dyDescent="0.25">
      <c r="A17" s="272" t="s">
        <v>54</v>
      </c>
      <c r="B17" s="273">
        <v>374</v>
      </c>
      <c r="C17" s="274" t="s">
        <v>38</v>
      </c>
      <c r="D17" s="276">
        <v>1.5</v>
      </c>
      <c r="E17" s="277" t="s">
        <v>1915</v>
      </c>
      <c r="F17" s="277" t="s">
        <v>1915</v>
      </c>
      <c r="G17" s="277" t="s">
        <v>1915</v>
      </c>
      <c r="H17" s="277" t="s">
        <v>1944</v>
      </c>
      <c r="I17" s="278" t="s">
        <v>1715</v>
      </c>
      <c r="J17" s="278" t="s">
        <v>1090</v>
      </c>
      <c r="K17" s="278" t="s">
        <v>617</v>
      </c>
      <c r="L17" s="279">
        <v>0.15</v>
      </c>
      <c r="M17" s="279">
        <v>0.15</v>
      </c>
      <c r="N17" s="279">
        <v>0.15</v>
      </c>
      <c r="O17" s="279">
        <v>0.15</v>
      </c>
      <c r="P17" s="279">
        <v>0.15</v>
      </c>
      <c r="Q17" s="280">
        <v>0.15</v>
      </c>
      <c r="R17" s="281" t="s">
        <v>901</v>
      </c>
      <c r="S17" s="282" t="s">
        <v>1367</v>
      </c>
      <c r="T17" s="283">
        <v>1.5</v>
      </c>
      <c r="U17" s="284"/>
      <c r="V17" s="285"/>
      <c r="W17" s="285"/>
      <c r="X17" s="285"/>
      <c r="Y17" s="285"/>
      <c r="Z17" s="282" t="s">
        <v>1327</v>
      </c>
      <c r="AA17" s="286" t="s">
        <v>176</v>
      </c>
      <c r="AB17" s="286" t="s">
        <v>182</v>
      </c>
      <c r="AC17" s="284">
        <v>1</v>
      </c>
      <c r="AD17" s="285"/>
      <c r="AE17" s="285"/>
      <c r="AF17" s="285"/>
      <c r="AG17" s="285"/>
      <c r="AH17" s="285"/>
      <c r="AI17" s="285"/>
      <c r="AJ17" s="287" t="s">
        <v>163</v>
      </c>
      <c r="AK17" s="284" t="s">
        <v>163</v>
      </c>
      <c r="AL17" s="288" t="s">
        <v>573</v>
      </c>
      <c r="AM17" s="289">
        <v>1.5</v>
      </c>
      <c r="AN17" s="282" t="s">
        <v>1209</v>
      </c>
      <c r="AO17" s="283">
        <v>1.5</v>
      </c>
      <c r="AP17" s="290" t="s">
        <v>23</v>
      </c>
      <c r="AQ17" s="284" t="s">
        <v>163</v>
      </c>
      <c r="AR17" s="291" t="s">
        <v>128</v>
      </c>
      <c r="AS17" s="291" t="s">
        <v>1787</v>
      </c>
      <c r="AT17" s="292">
        <f t="shared" si="2"/>
        <v>1.5</v>
      </c>
      <c r="AU17" s="293" t="s">
        <v>150</v>
      </c>
      <c r="AV17" s="275" t="s">
        <v>1268</v>
      </c>
      <c r="AW17" s="275">
        <v>1.5</v>
      </c>
      <c r="AX17" s="275">
        <v>1.5</v>
      </c>
      <c r="AY17" s="275">
        <v>1.5</v>
      </c>
      <c r="AZ17" s="275">
        <v>1.5</v>
      </c>
      <c r="BA17" s="294">
        <v>1.5</v>
      </c>
      <c r="BB17" s="295">
        <v>0.1</v>
      </c>
      <c r="BC17" s="296" t="s">
        <v>1015</v>
      </c>
      <c r="BD17" s="288" t="s">
        <v>1003</v>
      </c>
      <c r="BE17" s="297">
        <v>1</v>
      </c>
      <c r="BF17" s="298">
        <v>1</v>
      </c>
      <c r="BG17" s="299">
        <v>2024.0188000000001</v>
      </c>
      <c r="BH17" s="300" t="s">
        <v>347</v>
      </c>
      <c r="BI17" s="300">
        <v>1.5</v>
      </c>
      <c r="BJ17" s="300" t="s">
        <v>320</v>
      </c>
      <c r="BK17" s="289">
        <v>1.5</v>
      </c>
      <c r="BL17" s="301" t="s">
        <v>321</v>
      </c>
      <c r="BM17" s="191" t="s">
        <v>400</v>
      </c>
      <c r="BN17" s="191" t="s">
        <v>1476</v>
      </c>
      <c r="BO17" s="191" t="s">
        <v>1477</v>
      </c>
      <c r="BP17" s="191" t="s">
        <v>932</v>
      </c>
      <c r="BQ17" s="191" t="s">
        <v>1651</v>
      </c>
      <c r="BR17" s="191" t="s">
        <v>1641</v>
      </c>
      <c r="BS17" s="191" t="s">
        <v>403</v>
      </c>
      <c r="BT17" s="191" t="s">
        <v>401</v>
      </c>
      <c r="BU17" s="191" t="s">
        <v>404</v>
      </c>
      <c r="BV17" s="191" t="s">
        <v>405</v>
      </c>
      <c r="BW17" s="191" t="s">
        <v>402</v>
      </c>
      <c r="BX17" s="191" t="s">
        <v>406</v>
      </c>
      <c r="BY17" s="163"/>
      <c r="BZ17" s="163"/>
      <c r="CA17" s="163"/>
      <c r="CB17" s="163"/>
      <c r="CC17" s="163"/>
      <c r="CD17" s="681"/>
      <c r="CE17" s="11" t="s">
        <v>2091</v>
      </c>
      <c r="CH17" s="11">
        <f t="shared" si="1"/>
        <v>6</v>
      </c>
    </row>
    <row r="18" spans="1:86" s="487" customFormat="1" x14ac:dyDescent="0.25">
      <c r="A18" s="488" t="s">
        <v>55</v>
      </c>
      <c r="B18" s="489">
        <v>375</v>
      </c>
      <c r="C18" s="530" t="s">
        <v>1866</v>
      </c>
      <c r="D18" s="492">
        <v>2</v>
      </c>
      <c r="E18" s="493" t="s">
        <v>1915</v>
      </c>
      <c r="F18" s="493"/>
      <c r="G18" s="493"/>
      <c r="H18" s="493" t="s">
        <v>1945</v>
      </c>
      <c r="I18" s="494" t="s">
        <v>1707</v>
      </c>
      <c r="J18" s="494" t="s">
        <v>1069</v>
      </c>
      <c r="K18" s="494" t="s">
        <v>675</v>
      </c>
      <c r="L18" s="495">
        <v>0.2</v>
      </c>
      <c r="M18" s="495">
        <v>0.2</v>
      </c>
      <c r="N18" s="495">
        <v>0.2</v>
      </c>
      <c r="O18" s="495">
        <v>0.2</v>
      </c>
      <c r="P18" s="495">
        <v>0.2</v>
      </c>
      <c r="Q18" s="496">
        <v>0.2</v>
      </c>
      <c r="R18" s="497" t="s">
        <v>901</v>
      </c>
      <c r="S18" s="498" t="s">
        <v>1341</v>
      </c>
      <c r="T18" s="499">
        <v>2</v>
      </c>
      <c r="U18" s="500"/>
      <c r="V18" s="501"/>
      <c r="W18" s="501"/>
      <c r="X18" s="501"/>
      <c r="Y18" s="501"/>
      <c r="Z18" s="498" t="s">
        <v>184</v>
      </c>
      <c r="AA18" s="502" t="s">
        <v>176</v>
      </c>
      <c r="AB18" s="502" t="s">
        <v>182</v>
      </c>
      <c r="AC18" s="500">
        <v>2</v>
      </c>
      <c r="AD18" s="501"/>
      <c r="AE18" s="501"/>
      <c r="AF18" s="501"/>
      <c r="AG18" s="501"/>
      <c r="AH18" s="501"/>
      <c r="AI18" s="501"/>
      <c r="AJ18" s="503" t="s">
        <v>163</v>
      </c>
      <c r="AK18" s="500" t="s">
        <v>163</v>
      </c>
      <c r="AL18" s="504" t="s">
        <v>574</v>
      </c>
      <c r="AM18" s="505">
        <v>2</v>
      </c>
      <c r="AN18" s="498" t="s">
        <v>1210</v>
      </c>
      <c r="AO18" s="499">
        <v>2</v>
      </c>
      <c r="AP18" s="506" t="s">
        <v>23</v>
      </c>
      <c r="AQ18" s="500" t="s">
        <v>163</v>
      </c>
      <c r="AR18" s="507" t="s">
        <v>129</v>
      </c>
      <c r="AS18" s="507" t="s">
        <v>1788</v>
      </c>
      <c r="AT18" s="508">
        <f t="shared" si="2"/>
        <v>2</v>
      </c>
      <c r="AU18" s="509" t="s">
        <v>150</v>
      </c>
      <c r="AV18" s="491" t="s">
        <v>1269</v>
      </c>
      <c r="AW18" s="491">
        <v>2</v>
      </c>
      <c r="AX18" s="491">
        <v>2</v>
      </c>
      <c r="AY18" s="491">
        <v>2</v>
      </c>
      <c r="AZ18" s="491">
        <v>2</v>
      </c>
      <c r="BA18" s="510">
        <v>2</v>
      </c>
      <c r="BB18" s="511">
        <v>0.2</v>
      </c>
      <c r="BC18" s="512" t="s">
        <v>1016</v>
      </c>
      <c r="BD18" s="504" t="s">
        <v>1001</v>
      </c>
      <c r="BE18" s="513">
        <v>2</v>
      </c>
      <c r="BF18" s="514">
        <v>2</v>
      </c>
      <c r="BG18" s="515">
        <v>2024.0189</v>
      </c>
      <c r="BH18" s="513" t="s">
        <v>899</v>
      </c>
      <c r="BI18" s="516">
        <v>2</v>
      </c>
      <c r="BJ18" s="516" t="s">
        <v>320</v>
      </c>
      <c r="BK18" s="505">
        <v>2</v>
      </c>
      <c r="BL18" s="517" t="s">
        <v>321</v>
      </c>
      <c r="BM18" s="485" t="s">
        <v>532</v>
      </c>
      <c r="BN18" s="485" t="s">
        <v>1478</v>
      </c>
      <c r="BO18" s="485" t="s">
        <v>1479</v>
      </c>
      <c r="BP18" s="485" t="s">
        <v>933</v>
      </c>
      <c r="BQ18" s="485" t="s">
        <v>1652</v>
      </c>
      <c r="BR18" s="485" t="s">
        <v>1641</v>
      </c>
      <c r="BS18" s="486" t="s">
        <v>407</v>
      </c>
      <c r="BT18" s="486" t="s">
        <v>408</v>
      </c>
      <c r="BU18" s="486" t="s">
        <v>409</v>
      </c>
      <c r="BV18" s="486" t="s">
        <v>410</v>
      </c>
      <c r="BW18" s="486" t="s">
        <v>411</v>
      </c>
      <c r="BX18" s="486"/>
      <c r="BY18" s="486"/>
      <c r="BZ18" s="486"/>
      <c r="CA18" s="486"/>
      <c r="CB18" s="486"/>
      <c r="CC18" s="486"/>
      <c r="CD18" s="682"/>
      <c r="CE18" s="487" t="s">
        <v>2092</v>
      </c>
      <c r="CH18" s="487">
        <f t="shared" si="1"/>
        <v>5</v>
      </c>
    </row>
    <row r="19" spans="1:86" x14ac:dyDescent="0.25">
      <c r="A19" s="192" t="s">
        <v>56</v>
      </c>
      <c r="B19" s="193">
        <v>376</v>
      </c>
      <c r="C19" s="302" t="s">
        <v>1410</v>
      </c>
      <c r="D19" s="196">
        <v>1.5</v>
      </c>
      <c r="E19" s="197" t="s">
        <v>1915</v>
      </c>
      <c r="F19" s="197" t="s">
        <v>1915</v>
      </c>
      <c r="G19" s="197" t="s">
        <v>1915</v>
      </c>
      <c r="H19" s="197" t="s">
        <v>1997</v>
      </c>
      <c r="I19" s="198" t="s">
        <v>1671</v>
      </c>
      <c r="J19" s="198" t="s">
        <v>1429</v>
      </c>
      <c r="K19" s="198" t="s">
        <v>1753</v>
      </c>
      <c r="L19" s="199">
        <v>0.15</v>
      </c>
      <c r="M19" s="199">
        <v>0.15</v>
      </c>
      <c r="N19" s="199">
        <v>0.15</v>
      </c>
      <c r="O19" s="199">
        <v>0.15</v>
      </c>
      <c r="P19" s="199">
        <v>0</v>
      </c>
      <c r="Q19" s="200">
        <v>0</v>
      </c>
      <c r="R19" s="201" t="s">
        <v>901</v>
      </c>
      <c r="S19" s="202" t="s">
        <v>1464</v>
      </c>
      <c r="T19" s="203">
        <v>1.5</v>
      </c>
      <c r="U19" s="204"/>
      <c r="V19" s="205"/>
      <c r="W19" s="205"/>
      <c r="X19" s="205"/>
      <c r="Y19" s="205"/>
      <c r="Z19" s="303" t="s">
        <v>1719</v>
      </c>
      <c r="AA19" s="206" t="s">
        <v>1718</v>
      </c>
      <c r="AB19" s="206" t="s">
        <v>182</v>
      </c>
      <c r="AC19" s="204">
        <v>1.5</v>
      </c>
      <c r="AD19" s="205"/>
      <c r="AE19" s="205"/>
      <c r="AF19" s="205"/>
      <c r="AG19" s="205"/>
      <c r="AH19" s="205"/>
      <c r="AI19" s="205"/>
      <c r="AJ19" s="207" t="s">
        <v>163</v>
      </c>
      <c r="AK19" s="204" t="s">
        <v>163</v>
      </c>
      <c r="AL19" s="208" t="s">
        <v>571</v>
      </c>
      <c r="AM19" s="221">
        <v>1</v>
      </c>
      <c r="AN19" s="202" t="s">
        <v>1469</v>
      </c>
      <c r="AO19" s="203">
        <v>1</v>
      </c>
      <c r="AP19" s="210" t="s">
        <v>23</v>
      </c>
      <c r="AQ19" s="204" t="s">
        <v>163</v>
      </c>
      <c r="AR19" s="211"/>
      <c r="AS19" s="211" t="s">
        <v>1789</v>
      </c>
      <c r="AT19" s="212">
        <v>1.5</v>
      </c>
      <c r="AU19" s="213" t="s">
        <v>158</v>
      </c>
      <c r="AV19" s="195" t="s">
        <v>163</v>
      </c>
      <c r="AW19" s="195" t="s">
        <v>163</v>
      </c>
      <c r="AX19" s="195" t="s">
        <v>163</v>
      </c>
      <c r="AY19" s="195" t="s">
        <v>163</v>
      </c>
      <c r="AZ19" s="195" t="s">
        <v>163</v>
      </c>
      <c r="BA19" s="214"/>
      <c r="BB19" s="215" t="s">
        <v>163</v>
      </c>
      <c r="BC19" s="216" t="s">
        <v>163</v>
      </c>
      <c r="BD19" s="208" t="s">
        <v>163</v>
      </c>
      <c r="BE19" s="217" t="s">
        <v>163</v>
      </c>
      <c r="BF19" s="218" t="s">
        <v>163</v>
      </c>
      <c r="BG19" s="219">
        <v>2024.0163</v>
      </c>
      <c r="BH19" s="217" t="s">
        <v>23</v>
      </c>
      <c r="BI19" s="220">
        <v>1.5</v>
      </c>
      <c r="BJ19" s="220" t="s">
        <v>320</v>
      </c>
      <c r="BK19" s="209">
        <v>1.5</v>
      </c>
      <c r="BL19" s="221" t="s">
        <v>321</v>
      </c>
      <c r="BM19" s="191" t="s">
        <v>1426</v>
      </c>
      <c r="BN19" s="191" t="s">
        <v>1480</v>
      </c>
      <c r="BO19" s="191" t="s">
        <v>1481</v>
      </c>
      <c r="BP19" s="191" t="s">
        <v>1546</v>
      </c>
      <c r="BQ19" s="191" t="s">
        <v>1651</v>
      </c>
      <c r="BR19" s="191" t="s">
        <v>354</v>
      </c>
      <c r="BS19" s="163" t="s">
        <v>1432</v>
      </c>
      <c r="BT19" s="163" t="s">
        <v>1433</v>
      </c>
      <c r="BU19" s="163" t="s">
        <v>1434</v>
      </c>
      <c r="BV19" s="163" t="s">
        <v>1435</v>
      </c>
      <c r="BW19" s="163" t="s">
        <v>1436</v>
      </c>
      <c r="BX19" s="163" t="s">
        <v>1437</v>
      </c>
      <c r="BY19" s="163" t="s">
        <v>1438</v>
      </c>
      <c r="BZ19" s="163" t="s">
        <v>1439</v>
      </c>
      <c r="CA19" s="163" t="s">
        <v>1440</v>
      </c>
      <c r="CB19" s="163"/>
      <c r="CC19" s="163"/>
      <c r="CD19" s="681"/>
      <c r="CE19" s="11" t="s">
        <v>2091</v>
      </c>
      <c r="CH19" s="11">
        <f t="shared" si="1"/>
        <v>9</v>
      </c>
    </row>
    <row r="20" spans="1:86" s="487" customFormat="1" x14ac:dyDescent="0.25">
      <c r="A20" s="531" t="s">
        <v>57</v>
      </c>
      <c r="B20" s="532">
        <v>377</v>
      </c>
      <c r="C20" s="530" t="s">
        <v>3</v>
      </c>
      <c r="D20" s="492">
        <v>2.5</v>
      </c>
      <c r="E20" s="493" t="s">
        <v>1916</v>
      </c>
      <c r="F20" s="493"/>
      <c r="G20" s="493"/>
      <c r="H20" s="493" t="s">
        <v>1946</v>
      </c>
      <c r="I20" s="494" t="s">
        <v>1716</v>
      </c>
      <c r="J20" s="494" t="s">
        <v>1096</v>
      </c>
      <c r="K20" s="494" t="s">
        <v>674</v>
      </c>
      <c r="L20" s="495">
        <v>0.25</v>
      </c>
      <c r="M20" s="495">
        <v>0.25</v>
      </c>
      <c r="N20" s="495">
        <v>0.25</v>
      </c>
      <c r="O20" s="495">
        <v>0.25</v>
      </c>
      <c r="P20" s="495">
        <v>0.25</v>
      </c>
      <c r="Q20" s="496">
        <v>0.25</v>
      </c>
      <c r="R20" s="497" t="s">
        <v>901</v>
      </c>
      <c r="S20" s="498" t="s">
        <v>1368</v>
      </c>
      <c r="T20" s="499">
        <v>2.5</v>
      </c>
      <c r="U20" s="500"/>
      <c r="V20" s="501"/>
      <c r="W20" s="501"/>
      <c r="X20" s="501"/>
      <c r="Y20" s="501"/>
      <c r="Z20" s="498" t="s">
        <v>185</v>
      </c>
      <c r="AA20" s="502" t="s">
        <v>176</v>
      </c>
      <c r="AB20" s="502" t="s">
        <v>182</v>
      </c>
      <c r="AC20" s="500">
        <v>1.5</v>
      </c>
      <c r="AD20" s="501"/>
      <c r="AE20" s="501"/>
      <c r="AF20" s="501"/>
      <c r="AG20" s="501"/>
      <c r="AH20" s="501"/>
      <c r="AI20" s="501"/>
      <c r="AJ20" s="503" t="s">
        <v>163</v>
      </c>
      <c r="AK20" s="500" t="s">
        <v>163</v>
      </c>
      <c r="AL20" s="504" t="s">
        <v>575</v>
      </c>
      <c r="AM20" s="505">
        <v>2.5</v>
      </c>
      <c r="AN20" s="520" t="s">
        <v>1211</v>
      </c>
      <c r="AO20" s="499">
        <v>2.5</v>
      </c>
      <c r="AP20" s="506" t="s">
        <v>23</v>
      </c>
      <c r="AQ20" s="500" t="s">
        <v>163</v>
      </c>
      <c r="AR20" s="507" t="s">
        <v>124</v>
      </c>
      <c r="AS20" s="507" t="s">
        <v>1790</v>
      </c>
      <c r="AT20" s="508">
        <f t="shared" si="2"/>
        <v>2.5</v>
      </c>
      <c r="AU20" s="509" t="s">
        <v>150</v>
      </c>
      <c r="AV20" s="491" t="s">
        <v>1270</v>
      </c>
      <c r="AW20" s="491">
        <v>0</v>
      </c>
      <c r="AX20" s="491">
        <v>2.5</v>
      </c>
      <c r="AY20" s="491">
        <v>2.5</v>
      </c>
      <c r="AZ20" s="491">
        <v>2.5</v>
      </c>
      <c r="BA20" s="510">
        <v>2.5</v>
      </c>
      <c r="BB20" s="511">
        <v>0.2</v>
      </c>
      <c r="BC20" s="512" t="s">
        <v>1017</v>
      </c>
      <c r="BD20" s="504" t="s">
        <v>1002</v>
      </c>
      <c r="BE20" s="513">
        <v>2</v>
      </c>
      <c r="BF20" s="514">
        <v>2</v>
      </c>
      <c r="BG20" s="515">
        <v>2024.0177000000001</v>
      </c>
      <c r="BH20" s="516" t="s">
        <v>347</v>
      </c>
      <c r="BI20" s="516">
        <v>2.5</v>
      </c>
      <c r="BJ20" s="516" t="s">
        <v>320</v>
      </c>
      <c r="BK20" s="505">
        <v>2.5</v>
      </c>
      <c r="BL20" s="517" t="s">
        <v>321</v>
      </c>
      <c r="BM20" s="486" t="s">
        <v>412</v>
      </c>
      <c r="BN20" s="486" t="s">
        <v>1482</v>
      </c>
      <c r="BO20" s="486" t="s">
        <v>1483</v>
      </c>
      <c r="BP20" s="486" t="s">
        <v>1547</v>
      </c>
      <c r="BQ20" s="486" t="s">
        <v>1653</v>
      </c>
      <c r="BR20" s="486" t="s">
        <v>1641</v>
      </c>
      <c r="BS20" s="486" t="s">
        <v>413</v>
      </c>
      <c r="BT20" s="486" t="s">
        <v>414</v>
      </c>
      <c r="BU20" s="486" t="s">
        <v>415</v>
      </c>
      <c r="BV20" s="486" t="s">
        <v>416</v>
      </c>
      <c r="BW20" s="486" t="s">
        <v>417</v>
      </c>
      <c r="BX20" s="486" t="s">
        <v>418</v>
      </c>
      <c r="BY20" s="486" t="s">
        <v>416</v>
      </c>
      <c r="BZ20" s="486" t="s">
        <v>419</v>
      </c>
      <c r="CA20" s="486"/>
      <c r="CB20" s="486"/>
      <c r="CC20" s="486"/>
      <c r="CD20" s="682"/>
      <c r="CE20" s="487" t="s">
        <v>2093</v>
      </c>
      <c r="CH20" s="487">
        <f t="shared" si="1"/>
        <v>8</v>
      </c>
    </row>
    <row r="21" spans="1:86" x14ac:dyDescent="0.25">
      <c r="A21" s="192" t="s">
        <v>516</v>
      </c>
      <c r="B21" s="193">
        <v>378</v>
      </c>
      <c r="C21" s="302" t="s">
        <v>151</v>
      </c>
      <c r="D21" s="196">
        <v>1.5</v>
      </c>
      <c r="E21" s="197" t="s">
        <v>1916</v>
      </c>
      <c r="F21" s="197"/>
      <c r="G21" s="197"/>
      <c r="H21" s="197" t="s">
        <v>1947</v>
      </c>
      <c r="I21" s="198" t="s">
        <v>1717</v>
      </c>
      <c r="J21" s="198" t="s">
        <v>1070</v>
      </c>
      <c r="K21" s="198" t="s">
        <v>673</v>
      </c>
      <c r="L21" s="199">
        <v>0.15</v>
      </c>
      <c r="M21" s="199">
        <v>0.15</v>
      </c>
      <c r="N21" s="199">
        <v>0.15</v>
      </c>
      <c r="O21" s="199">
        <v>0.15</v>
      </c>
      <c r="P21" s="199">
        <v>0.15</v>
      </c>
      <c r="Q21" s="200">
        <v>0.15</v>
      </c>
      <c r="R21" s="201" t="s">
        <v>901</v>
      </c>
      <c r="S21" s="202" t="s">
        <v>1369</v>
      </c>
      <c r="T21" s="203"/>
      <c r="U21" s="204">
        <v>1.5</v>
      </c>
      <c r="V21" s="205"/>
      <c r="W21" s="205"/>
      <c r="X21" s="205"/>
      <c r="Y21" s="205"/>
      <c r="Z21" s="202" t="s">
        <v>187</v>
      </c>
      <c r="AA21" s="206" t="s">
        <v>176</v>
      </c>
      <c r="AB21" s="206" t="s">
        <v>182</v>
      </c>
      <c r="AC21" s="204">
        <v>1.5</v>
      </c>
      <c r="AD21" s="205"/>
      <c r="AE21" s="205"/>
      <c r="AF21" s="205"/>
      <c r="AG21" s="205"/>
      <c r="AH21" s="205"/>
      <c r="AI21" s="205"/>
      <c r="AJ21" s="207" t="s">
        <v>163</v>
      </c>
      <c r="AK21" s="204" t="s">
        <v>163</v>
      </c>
      <c r="AL21" s="208" t="s">
        <v>573</v>
      </c>
      <c r="AM21" s="209">
        <v>1.5</v>
      </c>
      <c r="AN21" s="202" t="s">
        <v>1212</v>
      </c>
      <c r="AO21" s="203">
        <v>1.5</v>
      </c>
      <c r="AP21" s="210" t="s">
        <v>23</v>
      </c>
      <c r="AQ21" s="204" t="s">
        <v>163</v>
      </c>
      <c r="AR21" s="211" t="s">
        <v>138</v>
      </c>
      <c r="AS21" s="211" t="s">
        <v>1791</v>
      </c>
      <c r="AT21" s="212">
        <f t="shared" si="2"/>
        <v>1.5</v>
      </c>
      <c r="AU21" s="213" t="s">
        <v>150</v>
      </c>
      <c r="AV21" s="195" t="s">
        <v>1271</v>
      </c>
      <c r="AW21" s="195">
        <v>1.5</v>
      </c>
      <c r="AX21" s="195">
        <v>1.5</v>
      </c>
      <c r="AY21" s="195">
        <v>1.5</v>
      </c>
      <c r="AZ21" s="195">
        <v>1.5</v>
      </c>
      <c r="BA21" s="214">
        <v>1.5</v>
      </c>
      <c r="BB21" s="215">
        <v>0.1</v>
      </c>
      <c r="BC21" s="216" t="s">
        <v>1018</v>
      </c>
      <c r="BD21" s="208" t="s">
        <v>971</v>
      </c>
      <c r="BE21" s="217">
        <v>1.5</v>
      </c>
      <c r="BF21" s="218">
        <v>1.5</v>
      </c>
      <c r="BG21" s="219">
        <v>2024.0209</v>
      </c>
      <c r="BH21" s="220" t="s">
        <v>347</v>
      </c>
      <c r="BI21" s="220">
        <v>2</v>
      </c>
      <c r="BJ21" s="220" t="s">
        <v>321</v>
      </c>
      <c r="BK21" s="209">
        <v>0</v>
      </c>
      <c r="BL21" s="221" t="s">
        <v>321</v>
      </c>
      <c r="BM21" s="191" t="s">
        <v>98</v>
      </c>
      <c r="BN21" s="191" t="s">
        <v>1484</v>
      </c>
      <c r="BO21" s="191" t="s">
        <v>1485</v>
      </c>
      <c r="BP21" s="191" t="s">
        <v>934</v>
      </c>
      <c r="BQ21" s="191" t="s">
        <v>1651</v>
      </c>
      <c r="BR21" s="191" t="s">
        <v>1641</v>
      </c>
      <c r="BS21" s="163" t="s">
        <v>420</v>
      </c>
      <c r="BT21" s="163" t="s">
        <v>421</v>
      </c>
      <c r="BU21" s="163" t="s">
        <v>422</v>
      </c>
      <c r="BV21" s="163"/>
      <c r="BW21" s="163"/>
      <c r="BX21" s="163"/>
      <c r="BY21" s="163"/>
      <c r="BZ21" s="163"/>
      <c r="CA21" s="163"/>
      <c r="CB21" s="163"/>
      <c r="CC21" s="163"/>
      <c r="CD21" s="681"/>
      <c r="CE21" s="11" t="s">
        <v>2091</v>
      </c>
      <c r="CH21" s="11">
        <f t="shared" si="1"/>
        <v>3</v>
      </c>
    </row>
    <row r="22" spans="1:86" s="487" customFormat="1" x14ac:dyDescent="0.25">
      <c r="A22" s="488" t="s">
        <v>108</v>
      </c>
      <c r="B22" s="489">
        <v>379</v>
      </c>
      <c r="C22" s="530" t="s">
        <v>2021</v>
      </c>
      <c r="D22" s="492">
        <v>1.5</v>
      </c>
      <c r="E22" s="493" t="s">
        <v>1915</v>
      </c>
      <c r="F22" s="493" t="s">
        <v>1915</v>
      </c>
      <c r="G22" s="493" t="s">
        <v>1915</v>
      </c>
      <c r="H22" s="493" t="s">
        <v>2052</v>
      </c>
      <c r="I22" s="494" t="s">
        <v>1706</v>
      </c>
      <c r="J22" s="494" t="s">
        <v>1071</v>
      </c>
      <c r="K22" s="494" t="s">
        <v>676</v>
      </c>
      <c r="L22" s="495">
        <v>0.15</v>
      </c>
      <c r="M22" s="495">
        <v>0.15</v>
      </c>
      <c r="N22" s="495">
        <v>0.15</v>
      </c>
      <c r="O22" s="495">
        <v>0.15</v>
      </c>
      <c r="P22" s="495">
        <v>0.15</v>
      </c>
      <c r="Q22" s="496">
        <v>0.15</v>
      </c>
      <c r="R22" s="497" t="s">
        <v>901</v>
      </c>
      <c r="S22" s="498" t="s">
        <v>1370</v>
      </c>
      <c r="T22" s="499">
        <v>1.5</v>
      </c>
      <c r="U22" s="500"/>
      <c r="V22" s="501"/>
      <c r="W22" s="501"/>
      <c r="X22" s="501"/>
      <c r="Y22" s="501"/>
      <c r="Z22" s="533" t="s">
        <v>903</v>
      </c>
      <c r="AA22" s="502" t="s">
        <v>176</v>
      </c>
      <c r="AB22" s="502" t="s">
        <v>182</v>
      </c>
      <c r="AC22" s="500">
        <v>1.5</v>
      </c>
      <c r="AD22" s="501"/>
      <c r="AE22" s="501"/>
      <c r="AF22" s="501"/>
      <c r="AG22" s="501"/>
      <c r="AH22" s="501"/>
      <c r="AI22" s="501"/>
      <c r="AJ22" s="503" t="s">
        <v>163</v>
      </c>
      <c r="AK22" s="500" t="s">
        <v>163</v>
      </c>
      <c r="AL22" s="504" t="s">
        <v>573</v>
      </c>
      <c r="AM22" s="505">
        <v>1.5</v>
      </c>
      <c r="AN22" s="498" t="s">
        <v>1213</v>
      </c>
      <c r="AO22" s="499">
        <v>1.5</v>
      </c>
      <c r="AP22" s="506" t="s">
        <v>23</v>
      </c>
      <c r="AQ22" s="534" t="s">
        <v>163</v>
      </c>
      <c r="AR22" s="535" t="s">
        <v>358</v>
      </c>
      <c r="AS22" s="535" t="s">
        <v>1792</v>
      </c>
      <c r="AT22" s="508">
        <f t="shared" si="2"/>
        <v>1.5</v>
      </c>
      <c r="AU22" s="509" t="s">
        <v>150</v>
      </c>
      <c r="AV22" s="491" t="s">
        <v>1272</v>
      </c>
      <c r="AW22" s="491">
        <v>1.5</v>
      </c>
      <c r="AX22" s="491">
        <v>1.5</v>
      </c>
      <c r="AY22" s="491">
        <v>1.5</v>
      </c>
      <c r="AZ22" s="491">
        <v>1.5</v>
      </c>
      <c r="BA22" s="510">
        <v>1.5</v>
      </c>
      <c r="BB22" s="511">
        <v>0.1</v>
      </c>
      <c r="BC22" s="512" t="s">
        <v>1010</v>
      </c>
      <c r="BD22" s="504" t="s">
        <v>172</v>
      </c>
      <c r="BE22" s="513">
        <v>0</v>
      </c>
      <c r="BF22" s="514">
        <v>0</v>
      </c>
      <c r="BG22" s="515">
        <v>2024.0182</v>
      </c>
      <c r="BH22" s="516" t="s">
        <v>347</v>
      </c>
      <c r="BI22" s="516">
        <v>1.5</v>
      </c>
      <c r="BJ22" s="516" t="s">
        <v>321</v>
      </c>
      <c r="BK22" s="505">
        <v>0</v>
      </c>
      <c r="BL22" s="517" t="s">
        <v>321</v>
      </c>
      <c r="BM22" s="536" t="s">
        <v>352</v>
      </c>
      <c r="BN22" s="536" t="s">
        <v>1486</v>
      </c>
      <c r="BO22" s="536" t="s">
        <v>1487</v>
      </c>
      <c r="BP22" s="536" t="s">
        <v>1548</v>
      </c>
      <c r="BQ22" s="536" t="s">
        <v>1651</v>
      </c>
      <c r="BR22" s="536" t="s">
        <v>1641</v>
      </c>
      <c r="BS22" s="486" t="s">
        <v>423</v>
      </c>
      <c r="BT22" s="486" t="s">
        <v>424</v>
      </c>
      <c r="BU22" s="486" t="s">
        <v>855</v>
      </c>
      <c r="BV22" s="486" t="s">
        <v>856</v>
      </c>
      <c r="BW22" s="486" t="s">
        <v>857</v>
      </c>
      <c r="BX22" s="486"/>
      <c r="BY22" s="486" t="s">
        <v>858</v>
      </c>
      <c r="BZ22" s="486"/>
      <c r="CA22" s="486"/>
      <c r="CB22" s="486"/>
      <c r="CC22" s="486"/>
      <c r="CD22" s="682"/>
      <c r="CE22" s="487" t="s">
        <v>2091</v>
      </c>
      <c r="CH22" s="487">
        <f t="shared" si="1"/>
        <v>6</v>
      </c>
    </row>
    <row r="23" spans="1:86" x14ac:dyDescent="0.25">
      <c r="A23" s="192" t="s">
        <v>109</v>
      </c>
      <c r="B23" s="193">
        <v>380</v>
      </c>
      <c r="C23" s="307" t="s">
        <v>105</v>
      </c>
      <c r="D23" s="196">
        <v>1.5</v>
      </c>
      <c r="E23" s="197" t="s">
        <v>1917</v>
      </c>
      <c r="F23" s="197"/>
      <c r="G23" s="197"/>
      <c r="H23" s="197" t="s">
        <v>2148</v>
      </c>
      <c r="I23" s="198" t="s">
        <v>1705</v>
      </c>
      <c r="J23" s="198" t="s">
        <v>1072</v>
      </c>
      <c r="K23" s="198" t="s">
        <v>708</v>
      </c>
      <c r="L23" s="199">
        <v>0.15</v>
      </c>
      <c r="M23" s="199">
        <v>0.15</v>
      </c>
      <c r="N23" s="199">
        <v>0.15</v>
      </c>
      <c r="O23" s="199">
        <v>0.15</v>
      </c>
      <c r="P23" s="199">
        <v>0.15</v>
      </c>
      <c r="Q23" s="200">
        <v>0.15</v>
      </c>
      <c r="R23" s="201" t="s">
        <v>901</v>
      </c>
      <c r="S23" s="202" t="s">
        <v>1342</v>
      </c>
      <c r="T23" s="203">
        <v>2</v>
      </c>
      <c r="U23" s="204"/>
      <c r="V23" s="205"/>
      <c r="W23" s="205"/>
      <c r="X23" s="205"/>
      <c r="Y23" s="205"/>
      <c r="Z23" s="202" t="s">
        <v>188</v>
      </c>
      <c r="AA23" s="206" t="s">
        <v>176</v>
      </c>
      <c r="AB23" s="206" t="s">
        <v>182</v>
      </c>
      <c r="AC23" s="204">
        <v>1</v>
      </c>
      <c r="AD23" s="205"/>
      <c r="AE23" s="205"/>
      <c r="AF23" s="205"/>
      <c r="AG23" s="205"/>
      <c r="AH23" s="205"/>
      <c r="AI23" s="205"/>
      <c r="AJ23" s="207" t="s">
        <v>163</v>
      </c>
      <c r="AK23" s="204" t="s">
        <v>163</v>
      </c>
      <c r="AL23" s="208" t="s">
        <v>574</v>
      </c>
      <c r="AM23" s="209">
        <v>2</v>
      </c>
      <c r="AN23" s="202" t="s">
        <v>1214</v>
      </c>
      <c r="AO23" s="203">
        <v>1.5</v>
      </c>
      <c r="AP23" s="210" t="s">
        <v>23</v>
      </c>
      <c r="AQ23" s="204" t="s">
        <v>163</v>
      </c>
      <c r="AR23" s="211" t="s">
        <v>144</v>
      </c>
      <c r="AS23" s="211" t="s">
        <v>1859</v>
      </c>
      <c r="AT23" s="212">
        <v>1.5</v>
      </c>
      <c r="AU23" s="213" t="s">
        <v>158</v>
      </c>
      <c r="AV23" s="195" t="s">
        <v>1274</v>
      </c>
      <c r="AW23" s="195">
        <v>1.5</v>
      </c>
      <c r="AX23" s="195">
        <v>0</v>
      </c>
      <c r="AY23" s="195">
        <v>0</v>
      </c>
      <c r="AZ23" s="195">
        <v>0</v>
      </c>
      <c r="BA23" s="214">
        <v>1.5</v>
      </c>
      <c r="BB23" s="215">
        <v>0.2</v>
      </c>
      <c r="BC23" s="216" t="s">
        <v>1019</v>
      </c>
      <c r="BD23" s="208" t="s">
        <v>999</v>
      </c>
      <c r="BE23" s="217">
        <v>0</v>
      </c>
      <c r="BF23" s="218">
        <v>1.5</v>
      </c>
      <c r="BG23" s="219">
        <v>2024.0219999999999</v>
      </c>
      <c r="BH23" s="220" t="s">
        <v>347</v>
      </c>
      <c r="BI23" s="220">
        <v>1.5</v>
      </c>
      <c r="BJ23" s="220" t="s">
        <v>320</v>
      </c>
      <c r="BK23" s="209">
        <v>1.5</v>
      </c>
      <c r="BL23" s="221" t="s">
        <v>321</v>
      </c>
      <c r="BM23" s="308" t="s">
        <v>425</v>
      </c>
      <c r="BN23" s="308" t="s">
        <v>1488</v>
      </c>
      <c r="BO23" s="308" t="s">
        <v>1489</v>
      </c>
      <c r="BP23" s="308" t="s">
        <v>935</v>
      </c>
      <c r="BQ23" s="308" t="s">
        <v>1651</v>
      </c>
      <c r="BR23" s="308" t="s">
        <v>354</v>
      </c>
      <c r="BS23" s="163" t="s">
        <v>426</v>
      </c>
      <c r="BT23" s="163" t="s">
        <v>427</v>
      </c>
      <c r="BU23" s="163" t="s">
        <v>428</v>
      </c>
      <c r="BV23" s="163" t="s">
        <v>429</v>
      </c>
      <c r="BW23" s="163" t="s">
        <v>430</v>
      </c>
      <c r="BX23" s="163"/>
      <c r="BY23" s="163"/>
      <c r="BZ23" s="163"/>
      <c r="CA23" s="163"/>
      <c r="CB23" s="163"/>
      <c r="CC23" s="163"/>
      <c r="CD23" s="681"/>
      <c r="CE23" s="11" t="s">
        <v>2091</v>
      </c>
      <c r="CH23" s="11">
        <f t="shared" si="1"/>
        <v>5</v>
      </c>
    </row>
    <row r="24" spans="1:86" s="487" customFormat="1" x14ac:dyDescent="0.25">
      <c r="A24" s="488" t="s">
        <v>517</v>
      </c>
      <c r="B24" s="489">
        <v>381</v>
      </c>
      <c r="C24" s="537" t="s">
        <v>106</v>
      </c>
      <c r="D24" s="492">
        <v>1.5</v>
      </c>
      <c r="E24" s="493" t="s">
        <v>1915</v>
      </c>
      <c r="F24" s="493"/>
      <c r="G24" s="493"/>
      <c r="H24" s="493" t="s">
        <v>2004</v>
      </c>
      <c r="I24" s="494" t="s">
        <v>1704</v>
      </c>
      <c r="J24" s="494" t="s">
        <v>1073</v>
      </c>
      <c r="K24" s="494" t="s">
        <v>672</v>
      </c>
      <c r="L24" s="495">
        <v>0.15</v>
      </c>
      <c r="M24" s="495">
        <v>0.15</v>
      </c>
      <c r="N24" s="495">
        <v>0</v>
      </c>
      <c r="O24" s="495">
        <v>0</v>
      </c>
      <c r="P24" s="495">
        <v>0.15</v>
      </c>
      <c r="Q24" s="496">
        <v>0</v>
      </c>
      <c r="R24" s="497" t="s">
        <v>901</v>
      </c>
      <c r="S24" s="498" t="s">
        <v>1343</v>
      </c>
      <c r="T24" s="499">
        <v>2</v>
      </c>
      <c r="U24" s="500"/>
      <c r="V24" s="501"/>
      <c r="W24" s="501"/>
      <c r="X24" s="501"/>
      <c r="Y24" s="501"/>
      <c r="Z24" s="498" t="s">
        <v>189</v>
      </c>
      <c r="AA24" s="502" t="s">
        <v>176</v>
      </c>
      <c r="AB24" s="502" t="s">
        <v>186</v>
      </c>
      <c r="AC24" s="500">
        <v>1</v>
      </c>
      <c r="AD24" s="501"/>
      <c r="AE24" s="501"/>
      <c r="AF24" s="501"/>
      <c r="AG24" s="501"/>
      <c r="AH24" s="501"/>
      <c r="AI24" s="501"/>
      <c r="AJ24" s="503" t="s">
        <v>163</v>
      </c>
      <c r="AK24" s="500" t="s">
        <v>163</v>
      </c>
      <c r="AL24" s="504" t="s">
        <v>573</v>
      </c>
      <c r="AM24" s="505">
        <v>1.5</v>
      </c>
      <c r="AN24" s="520" t="s">
        <v>1215</v>
      </c>
      <c r="AO24" s="499">
        <v>1.5</v>
      </c>
      <c r="AP24" s="506" t="s">
        <v>23</v>
      </c>
      <c r="AQ24" s="500" t="s">
        <v>163</v>
      </c>
      <c r="AR24" s="507" t="s">
        <v>125</v>
      </c>
      <c r="AS24" s="507" t="s">
        <v>1793</v>
      </c>
      <c r="AT24" s="508">
        <v>1.5</v>
      </c>
      <c r="AU24" s="509" t="s">
        <v>150</v>
      </c>
      <c r="AV24" s="491" t="s">
        <v>1273</v>
      </c>
      <c r="AW24" s="491">
        <v>1.5</v>
      </c>
      <c r="AX24" s="491">
        <v>1.5</v>
      </c>
      <c r="AY24" s="491">
        <v>1.5</v>
      </c>
      <c r="AZ24" s="491">
        <v>0</v>
      </c>
      <c r="BA24" s="510">
        <v>1.5</v>
      </c>
      <c r="BB24" s="511">
        <v>0.2</v>
      </c>
      <c r="BC24" s="512" t="s">
        <v>1020</v>
      </c>
      <c r="BD24" s="504" t="s">
        <v>996</v>
      </c>
      <c r="BE24" s="513">
        <v>1.5</v>
      </c>
      <c r="BF24" s="514">
        <v>0</v>
      </c>
      <c r="BG24" s="515">
        <v>2024.018</v>
      </c>
      <c r="BH24" s="516" t="s">
        <v>348</v>
      </c>
      <c r="BI24" s="516">
        <v>1.5</v>
      </c>
      <c r="BJ24" s="516" t="s">
        <v>320</v>
      </c>
      <c r="BK24" s="505">
        <v>1.5</v>
      </c>
      <c r="BL24" s="517" t="s">
        <v>321</v>
      </c>
      <c r="BM24" s="538" t="s">
        <v>107</v>
      </c>
      <c r="BN24" s="538" t="s">
        <v>1490</v>
      </c>
      <c r="BO24" s="538" t="s">
        <v>1491</v>
      </c>
      <c r="BP24" s="538" t="s">
        <v>936</v>
      </c>
      <c r="BQ24" s="538" t="s">
        <v>1653</v>
      </c>
      <c r="BR24" s="538" t="s">
        <v>1641</v>
      </c>
      <c r="BS24" s="485" t="s">
        <v>433</v>
      </c>
      <c r="BT24" s="485" t="s">
        <v>432</v>
      </c>
      <c r="BU24" s="485" t="s">
        <v>533</v>
      </c>
      <c r="BV24" s="485" t="s">
        <v>431</v>
      </c>
      <c r="BW24" s="486"/>
      <c r="BX24" s="486"/>
      <c r="BY24" s="486"/>
      <c r="BZ24" s="486"/>
      <c r="CA24" s="486"/>
      <c r="CB24" s="486"/>
      <c r="CC24" s="486"/>
      <c r="CD24" s="682"/>
      <c r="CE24" s="487" t="s">
        <v>2091</v>
      </c>
      <c r="CH24" s="487">
        <f t="shared" si="1"/>
        <v>4</v>
      </c>
    </row>
    <row r="25" spans="1:86" s="443" customFormat="1" x14ac:dyDescent="0.25">
      <c r="A25" s="411" t="s">
        <v>518</v>
      </c>
      <c r="B25" s="412">
        <v>382</v>
      </c>
      <c r="C25" s="413" t="s">
        <v>898</v>
      </c>
      <c r="D25" s="415"/>
      <c r="E25" s="416"/>
      <c r="F25" s="416"/>
      <c r="G25" s="416"/>
      <c r="H25" s="416"/>
      <c r="I25" s="417"/>
      <c r="J25" s="417" t="s">
        <v>1754</v>
      </c>
      <c r="K25" s="417" t="s">
        <v>1753</v>
      </c>
      <c r="L25" s="418"/>
      <c r="M25" s="418"/>
      <c r="N25" s="418"/>
      <c r="O25" s="418"/>
      <c r="P25" s="418"/>
      <c r="Q25" s="419"/>
      <c r="R25" s="420"/>
      <c r="S25" s="421"/>
      <c r="T25" s="422"/>
      <c r="U25" s="423"/>
      <c r="V25" s="424"/>
      <c r="W25" s="424"/>
      <c r="X25" s="424"/>
      <c r="Y25" s="424"/>
      <c r="Z25" s="421"/>
      <c r="AA25" s="425"/>
      <c r="AB25" s="425"/>
      <c r="AC25" s="423"/>
      <c r="AD25" s="424"/>
      <c r="AE25" s="424"/>
      <c r="AF25" s="424"/>
      <c r="AG25" s="424"/>
      <c r="AH25" s="424"/>
      <c r="AI25" s="424"/>
      <c r="AJ25" s="426" t="s">
        <v>163</v>
      </c>
      <c r="AK25" s="423" t="s">
        <v>163</v>
      </c>
      <c r="AL25" s="427" t="s">
        <v>163</v>
      </c>
      <c r="AM25" s="428" t="s">
        <v>163</v>
      </c>
      <c r="AN25" s="421" t="s">
        <v>163</v>
      </c>
      <c r="AO25" s="422" t="s">
        <v>163</v>
      </c>
      <c r="AP25" s="429" t="s">
        <v>163</v>
      </c>
      <c r="AQ25" s="423" t="s">
        <v>163</v>
      </c>
      <c r="AR25" s="430"/>
      <c r="AS25" s="430" t="s">
        <v>1818</v>
      </c>
      <c r="AT25" s="431"/>
      <c r="AU25" s="432" t="s">
        <v>150</v>
      </c>
      <c r="AV25" s="414" t="s">
        <v>163</v>
      </c>
      <c r="AW25" s="414" t="s">
        <v>163</v>
      </c>
      <c r="AX25" s="414" t="s">
        <v>163</v>
      </c>
      <c r="AY25" s="414" t="s">
        <v>163</v>
      </c>
      <c r="AZ25" s="414" t="s">
        <v>163</v>
      </c>
      <c r="BA25" s="433"/>
      <c r="BB25" s="434" t="s">
        <v>163</v>
      </c>
      <c r="BC25" s="435" t="s">
        <v>163</v>
      </c>
      <c r="BD25" s="427" t="s">
        <v>163</v>
      </c>
      <c r="BE25" s="436" t="s">
        <v>163</v>
      </c>
      <c r="BF25" s="437" t="s">
        <v>163</v>
      </c>
      <c r="BG25" s="438" t="s">
        <v>163</v>
      </c>
      <c r="BH25" s="439" t="s">
        <v>163</v>
      </c>
      <c r="BI25" s="439" t="s">
        <v>163</v>
      </c>
      <c r="BJ25" s="439" t="s">
        <v>163</v>
      </c>
      <c r="BK25" s="428" t="s">
        <v>163</v>
      </c>
      <c r="BL25" s="440" t="s">
        <v>163</v>
      </c>
      <c r="BM25" s="441"/>
      <c r="BN25" s="441"/>
      <c r="BO25" s="441"/>
      <c r="BP25" s="441"/>
      <c r="BQ25" s="441"/>
      <c r="BR25" s="441"/>
      <c r="BS25" s="442"/>
      <c r="BT25" s="442"/>
      <c r="BU25" s="442"/>
      <c r="BV25" s="442"/>
      <c r="BW25" s="442"/>
      <c r="BX25" s="442"/>
      <c r="BY25" s="442"/>
      <c r="BZ25" s="442"/>
      <c r="CA25" s="442"/>
      <c r="CB25" s="442"/>
      <c r="CC25" s="442"/>
      <c r="CD25" s="685"/>
      <c r="CH25" s="443">
        <f t="shared" si="1"/>
        <v>0</v>
      </c>
    </row>
    <row r="26" spans="1:86" s="487" customFormat="1" x14ac:dyDescent="0.25">
      <c r="A26" s="488" t="s">
        <v>1052</v>
      </c>
      <c r="B26" s="489">
        <v>383</v>
      </c>
      <c r="C26" s="530" t="s">
        <v>1053</v>
      </c>
      <c r="D26" s="492">
        <v>0.5</v>
      </c>
      <c r="E26" s="493" t="s">
        <v>1915</v>
      </c>
      <c r="F26" s="493"/>
      <c r="G26" s="493"/>
      <c r="H26" s="493" t="s">
        <v>1950</v>
      </c>
      <c r="I26" s="494" t="s">
        <v>1678</v>
      </c>
      <c r="J26" s="494" t="s">
        <v>1074</v>
      </c>
      <c r="K26" s="494" t="s">
        <v>1060</v>
      </c>
      <c r="L26" s="495">
        <v>0.05</v>
      </c>
      <c r="M26" s="495">
        <v>0.05</v>
      </c>
      <c r="N26" s="495">
        <v>0.05</v>
      </c>
      <c r="O26" s="495">
        <v>0.05</v>
      </c>
      <c r="P26" s="495">
        <v>0.05</v>
      </c>
      <c r="Q26" s="496">
        <v>0.05</v>
      </c>
      <c r="R26" s="497" t="s">
        <v>901</v>
      </c>
      <c r="S26" s="498" t="s">
        <v>1371</v>
      </c>
      <c r="T26" s="499"/>
      <c r="U26" s="500">
        <v>0.5</v>
      </c>
      <c r="V26" s="501"/>
      <c r="W26" s="501"/>
      <c r="X26" s="501"/>
      <c r="Y26" s="501"/>
      <c r="Z26" s="519" t="s">
        <v>1720</v>
      </c>
      <c r="AA26" s="502" t="s">
        <v>176</v>
      </c>
      <c r="AB26" s="502" t="s">
        <v>182</v>
      </c>
      <c r="AC26" s="500">
        <v>0.5</v>
      </c>
      <c r="AD26" s="501"/>
      <c r="AE26" s="501"/>
      <c r="AF26" s="501"/>
      <c r="AG26" s="501"/>
      <c r="AH26" s="501"/>
      <c r="AI26" s="501"/>
      <c r="AJ26" s="503" t="s">
        <v>163</v>
      </c>
      <c r="AK26" s="500" t="s">
        <v>163</v>
      </c>
      <c r="AL26" s="504" t="s">
        <v>572</v>
      </c>
      <c r="AM26" s="505">
        <v>0.5</v>
      </c>
      <c r="AN26" s="498" t="s">
        <v>1216</v>
      </c>
      <c r="AO26" s="499">
        <v>0.5</v>
      </c>
      <c r="AP26" s="506" t="s">
        <v>23</v>
      </c>
      <c r="AQ26" s="500" t="s">
        <v>163</v>
      </c>
      <c r="AR26" s="507"/>
      <c r="AS26" s="507" t="s">
        <v>1794</v>
      </c>
      <c r="AT26" s="508">
        <v>0.5</v>
      </c>
      <c r="AU26" s="509" t="s">
        <v>150</v>
      </c>
      <c r="AV26" s="491" t="s">
        <v>172</v>
      </c>
      <c r="AW26" s="491">
        <v>0</v>
      </c>
      <c r="AX26" s="491">
        <v>0</v>
      </c>
      <c r="AY26" s="491">
        <v>0</v>
      </c>
      <c r="AZ26" s="491">
        <v>0</v>
      </c>
      <c r="BA26" s="510">
        <v>0.5</v>
      </c>
      <c r="BB26" s="511">
        <v>0</v>
      </c>
      <c r="BC26" s="512" t="s">
        <v>172</v>
      </c>
      <c r="BD26" s="504" t="s">
        <v>163</v>
      </c>
      <c r="BE26" s="513" t="s">
        <v>163</v>
      </c>
      <c r="BF26" s="514" t="s">
        <v>163</v>
      </c>
      <c r="BG26" s="515">
        <v>2024.0165</v>
      </c>
      <c r="BH26" s="516" t="s">
        <v>347</v>
      </c>
      <c r="BI26" s="516">
        <v>0.5</v>
      </c>
      <c r="BJ26" s="516" t="s">
        <v>320</v>
      </c>
      <c r="BK26" s="505">
        <v>0.5</v>
      </c>
      <c r="BL26" s="517" t="s">
        <v>346</v>
      </c>
      <c r="BM26" s="485" t="s">
        <v>1054</v>
      </c>
      <c r="BN26" s="485" t="s">
        <v>1492</v>
      </c>
      <c r="BO26" s="485" t="s">
        <v>1493</v>
      </c>
      <c r="BP26" s="485" t="s">
        <v>1549</v>
      </c>
      <c r="BQ26" s="485" t="s">
        <v>1651</v>
      </c>
      <c r="BR26" s="485" t="s">
        <v>1641</v>
      </c>
      <c r="BS26" s="486" t="s">
        <v>1056</v>
      </c>
      <c r="BT26" s="486" t="s">
        <v>1057</v>
      </c>
      <c r="BU26" s="486" t="s">
        <v>1055</v>
      </c>
      <c r="BV26" s="486"/>
      <c r="BW26" s="486"/>
      <c r="BX26" s="486"/>
      <c r="BY26" s="486"/>
      <c r="BZ26" s="486"/>
      <c r="CA26" s="486"/>
      <c r="CB26" s="486"/>
      <c r="CC26" s="486"/>
      <c r="CD26" s="682"/>
      <c r="CE26" s="487" t="s">
        <v>2091</v>
      </c>
      <c r="CH26" s="487">
        <f t="shared" si="1"/>
        <v>3</v>
      </c>
    </row>
    <row r="27" spans="1:86" x14ac:dyDescent="0.25">
      <c r="A27" s="192" t="s">
        <v>63</v>
      </c>
      <c r="B27" s="193">
        <v>384</v>
      </c>
      <c r="C27" s="302" t="s">
        <v>20</v>
      </c>
      <c r="D27" s="196">
        <v>2.5</v>
      </c>
      <c r="E27" s="197" t="s">
        <v>1918</v>
      </c>
      <c r="F27" s="197"/>
      <c r="G27" s="197"/>
      <c r="H27" s="197" t="s">
        <v>1948</v>
      </c>
      <c r="I27" s="198" t="s">
        <v>1703</v>
      </c>
      <c r="J27" s="198" t="s">
        <v>1075</v>
      </c>
      <c r="K27" s="198" t="s">
        <v>668</v>
      </c>
      <c r="L27" s="199">
        <v>0.25</v>
      </c>
      <c r="M27" s="199">
        <v>0</v>
      </c>
      <c r="N27" s="199">
        <v>0</v>
      </c>
      <c r="O27" s="199">
        <v>0</v>
      </c>
      <c r="P27" s="199">
        <v>0.25</v>
      </c>
      <c r="Q27" s="200">
        <v>0.25</v>
      </c>
      <c r="R27" s="201" t="s">
        <v>901</v>
      </c>
      <c r="S27" s="202" t="s">
        <v>1346</v>
      </c>
      <c r="T27" s="203"/>
      <c r="U27" s="204">
        <v>2.5</v>
      </c>
      <c r="V27" s="205"/>
      <c r="W27" s="205"/>
      <c r="X27" s="205"/>
      <c r="Y27" s="205"/>
      <c r="Z27" s="202" t="s">
        <v>190</v>
      </c>
      <c r="AA27" s="206" t="s">
        <v>181</v>
      </c>
      <c r="AB27" s="206" t="s">
        <v>182</v>
      </c>
      <c r="AC27" s="204">
        <v>2</v>
      </c>
      <c r="AD27" s="205"/>
      <c r="AE27" s="205"/>
      <c r="AF27" s="205"/>
      <c r="AG27" s="205"/>
      <c r="AH27" s="205"/>
      <c r="AI27" s="205"/>
      <c r="AJ27" s="207" t="s">
        <v>163</v>
      </c>
      <c r="AK27" s="204" t="s">
        <v>163</v>
      </c>
      <c r="AL27" s="208" t="s">
        <v>575</v>
      </c>
      <c r="AM27" s="209">
        <v>2.5</v>
      </c>
      <c r="AN27" s="202" t="s">
        <v>1232</v>
      </c>
      <c r="AO27" s="203">
        <v>2.5</v>
      </c>
      <c r="AP27" s="210" t="s">
        <v>705</v>
      </c>
      <c r="AQ27" s="204" t="s">
        <v>163</v>
      </c>
      <c r="AR27" s="211" t="s">
        <v>146</v>
      </c>
      <c r="AS27" s="211" t="s">
        <v>1795</v>
      </c>
      <c r="AT27" s="212">
        <f>L27*10</f>
        <v>2.5</v>
      </c>
      <c r="AU27" s="213" t="s">
        <v>150</v>
      </c>
      <c r="AV27" s="195" t="s">
        <v>1276</v>
      </c>
      <c r="AW27" s="195">
        <v>2.5</v>
      </c>
      <c r="AX27" s="195">
        <v>2.5</v>
      </c>
      <c r="AY27" s="195">
        <v>2.5</v>
      </c>
      <c r="AZ27" s="195">
        <v>2.5</v>
      </c>
      <c r="BA27" s="214">
        <v>2.5</v>
      </c>
      <c r="BB27" s="215">
        <v>0.2</v>
      </c>
      <c r="BC27" s="216" t="s">
        <v>1021</v>
      </c>
      <c r="BD27" s="208" t="s">
        <v>987</v>
      </c>
      <c r="BE27" s="217" t="s">
        <v>988</v>
      </c>
      <c r="BF27" s="218" t="s">
        <v>988</v>
      </c>
      <c r="BG27" s="219">
        <v>2024.0225</v>
      </c>
      <c r="BH27" s="220" t="s">
        <v>347</v>
      </c>
      <c r="BI27" s="220">
        <v>2.5</v>
      </c>
      <c r="BJ27" s="220" t="s">
        <v>346</v>
      </c>
      <c r="BK27" s="209">
        <v>0</v>
      </c>
      <c r="BL27" s="221" t="s">
        <v>346</v>
      </c>
      <c r="BM27" s="163" t="s">
        <v>1869</v>
      </c>
      <c r="BN27" s="163" t="s">
        <v>1534</v>
      </c>
      <c r="BO27" s="163" t="s">
        <v>1870</v>
      </c>
      <c r="BP27" s="163" t="s">
        <v>943</v>
      </c>
      <c r="BQ27" s="163" t="s">
        <v>1651</v>
      </c>
      <c r="BR27" s="163" t="s">
        <v>1642</v>
      </c>
      <c r="BS27" s="163" t="s">
        <v>445</v>
      </c>
      <c r="BT27" s="163" t="s">
        <v>446</v>
      </c>
      <c r="BU27" s="163" t="s">
        <v>447</v>
      </c>
      <c r="BV27" s="163" t="s">
        <v>448</v>
      </c>
      <c r="BW27" s="163" t="s">
        <v>449</v>
      </c>
      <c r="BX27" s="163" t="s">
        <v>450</v>
      </c>
      <c r="BY27" s="163" t="s">
        <v>451</v>
      </c>
      <c r="BZ27" s="163"/>
      <c r="CA27" s="163"/>
      <c r="CB27" s="163"/>
      <c r="CC27" s="163"/>
      <c r="CD27" s="681"/>
      <c r="CE27" s="11" t="s">
        <v>2091</v>
      </c>
      <c r="CH27" s="11">
        <f t="shared" si="1"/>
        <v>7</v>
      </c>
    </row>
    <row r="28" spans="1:86" s="487" customFormat="1" x14ac:dyDescent="0.25">
      <c r="A28" s="539" t="s">
        <v>64</v>
      </c>
      <c r="B28" s="540">
        <v>385</v>
      </c>
      <c r="C28" s="541" t="s">
        <v>18</v>
      </c>
      <c r="D28" s="544">
        <v>1.5</v>
      </c>
      <c r="E28" s="545" t="s">
        <v>1917</v>
      </c>
      <c r="F28" s="545"/>
      <c r="G28" s="545"/>
      <c r="H28" s="545" t="s">
        <v>1949</v>
      </c>
      <c r="I28" s="546" t="s">
        <v>1702</v>
      </c>
      <c r="J28" s="546" t="s">
        <v>1076</v>
      </c>
      <c r="K28" s="546" t="s">
        <v>670</v>
      </c>
      <c r="L28" s="547">
        <v>0.15</v>
      </c>
      <c r="M28" s="547">
        <v>0.15</v>
      </c>
      <c r="N28" s="547">
        <v>0.15</v>
      </c>
      <c r="O28" s="547">
        <v>0.15</v>
      </c>
      <c r="P28" s="547">
        <v>0.15</v>
      </c>
      <c r="Q28" s="548">
        <v>0.15</v>
      </c>
      <c r="R28" s="549" t="s">
        <v>901</v>
      </c>
      <c r="S28" s="550" t="s">
        <v>1347</v>
      </c>
      <c r="T28" s="551"/>
      <c r="U28" s="534">
        <v>1.5</v>
      </c>
      <c r="V28" s="552"/>
      <c r="W28" s="552"/>
      <c r="X28" s="552"/>
      <c r="Y28" s="552"/>
      <c r="Z28" s="550" t="s">
        <v>191</v>
      </c>
      <c r="AA28" s="553" t="s">
        <v>181</v>
      </c>
      <c r="AB28" s="553" t="s">
        <v>182</v>
      </c>
      <c r="AC28" s="534">
        <v>1</v>
      </c>
      <c r="AD28" s="552"/>
      <c r="AE28" s="552"/>
      <c r="AF28" s="552"/>
      <c r="AG28" s="552"/>
      <c r="AH28" s="552"/>
      <c r="AI28" s="552"/>
      <c r="AJ28" s="554" t="s">
        <v>163</v>
      </c>
      <c r="AK28" s="534" t="s">
        <v>163</v>
      </c>
      <c r="AL28" s="555" t="s">
        <v>573</v>
      </c>
      <c r="AM28" s="556">
        <v>1.5</v>
      </c>
      <c r="AN28" s="550" t="s">
        <v>1233</v>
      </c>
      <c r="AO28" s="551">
        <v>1.5</v>
      </c>
      <c r="AP28" s="557" t="s">
        <v>705</v>
      </c>
      <c r="AQ28" s="534" t="s">
        <v>163</v>
      </c>
      <c r="AR28" s="535" t="s">
        <v>123</v>
      </c>
      <c r="AS28" s="535" t="s">
        <v>1796</v>
      </c>
      <c r="AT28" s="558">
        <f>L28*10</f>
        <v>1.5</v>
      </c>
      <c r="AU28" s="559" t="s">
        <v>150</v>
      </c>
      <c r="AV28" s="543" t="s">
        <v>1275</v>
      </c>
      <c r="AW28" s="543">
        <v>1.5</v>
      </c>
      <c r="AX28" s="543">
        <v>1.5</v>
      </c>
      <c r="AY28" s="543">
        <v>1.5</v>
      </c>
      <c r="AZ28" s="543">
        <v>1.5</v>
      </c>
      <c r="BA28" s="560">
        <v>1.5</v>
      </c>
      <c r="BB28" s="561">
        <v>0.1</v>
      </c>
      <c r="BC28" s="562" t="s">
        <v>1022</v>
      </c>
      <c r="BD28" s="555" t="s">
        <v>985</v>
      </c>
      <c r="BE28" s="563" t="s">
        <v>989</v>
      </c>
      <c r="BF28" s="564" t="s">
        <v>989</v>
      </c>
      <c r="BG28" s="565">
        <v>2024.0175999999999</v>
      </c>
      <c r="BH28" s="566" t="s">
        <v>347</v>
      </c>
      <c r="BI28" s="566">
        <v>1.5</v>
      </c>
      <c r="BJ28" s="566" t="s">
        <v>346</v>
      </c>
      <c r="BK28" s="556">
        <v>0</v>
      </c>
      <c r="BL28" s="567" t="s">
        <v>346</v>
      </c>
      <c r="BM28" s="486" t="s">
        <v>534</v>
      </c>
      <c r="BN28" s="486" t="s">
        <v>1535</v>
      </c>
      <c r="BO28" s="486" t="s">
        <v>1536</v>
      </c>
      <c r="BP28" s="486" t="s">
        <v>944</v>
      </c>
      <c r="BQ28" s="486" t="s">
        <v>1651</v>
      </c>
      <c r="BR28" s="486" t="s">
        <v>1642</v>
      </c>
      <c r="BS28" s="486" t="s">
        <v>452</v>
      </c>
      <c r="BT28" s="486" t="s">
        <v>453</v>
      </c>
      <c r="BU28" s="486" t="s">
        <v>454</v>
      </c>
      <c r="BV28" s="486" t="s">
        <v>455</v>
      </c>
      <c r="BW28" s="486" t="s">
        <v>456</v>
      </c>
      <c r="BX28" s="486" t="s">
        <v>457</v>
      </c>
      <c r="BY28" s="486" t="s">
        <v>458</v>
      </c>
      <c r="BZ28" s="486"/>
      <c r="CA28" s="486"/>
      <c r="CB28" s="486"/>
      <c r="CC28" s="486"/>
      <c r="CD28" s="682"/>
      <c r="CE28" s="487" t="s">
        <v>2091</v>
      </c>
      <c r="CH28" s="487">
        <f t="shared" si="1"/>
        <v>7</v>
      </c>
    </row>
    <row r="29" spans="1:86" x14ac:dyDescent="0.25">
      <c r="A29" s="192" t="s">
        <v>1407</v>
      </c>
      <c r="B29" s="193">
        <v>386</v>
      </c>
      <c r="C29" s="302" t="s">
        <v>1408</v>
      </c>
      <c r="D29" s="196">
        <v>1</v>
      </c>
      <c r="E29" s="197" t="s">
        <v>1915</v>
      </c>
      <c r="F29" s="197"/>
      <c r="G29" s="197"/>
      <c r="H29" s="197" t="s">
        <v>1951</v>
      </c>
      <c r="I29" s="198" t="s">
        <v>1672</v>
      </c>
      <c r="J29" s="198" t="s">
        <v>1409</v>
      </c>
      <c r="K29" s="198" t="s">
        <v>1753</v>
      </c>
      <c r="L29" s="199">
        <v>0.1</v>
      </c>
      <c r="M29" s="199">
        <v>0</v>
      </c>
      <c r="N29" s="199">
        <v>0</v>
      </c>
      <c r="O29" s="199">
        <v>0</v>
      </c>
      <c r="P29" s="199">
        <v>0</v>
      </c>
      <c r="Q29" s="200">
        <v>0</v>
      </c>
      <c r="R29" s="201" t="s">
        <v>901</v>
      </c>
      <c r="S29" s="202" t="s">
        <v>1465</v>
      </c>
      <c r="T29" s="203"/>
      <c r="U29" s="204">
        <v>1</v>
      </c>
      <c r="V29" s="205"/>
      <c r="W29" s="205"/>
      <c r="X29" s="205"/>
      <c r="Y29" s="205"/>
      <c r="Z29" s="224" t="s">
        <v>1726</v>
      </c>
      <c r="AA29" s="206" t="s">
        <v>181</v>
      </c>
      <c r="AB29" s="206" t="s">
        <v>182</v>
      </c>
      <c r="AC29" s="204">
        <v>1</v>
      </c>
      <c r="AD29" s="205"/>
      <c r="AE29" s="205"/>
      <c r="AF29" s="205"/>
      <c r="AG29" s="205"/>
      <c r="AH29" s="205"/>
      <c r="AI29" s="205"/>
      <c r="AJ29" s="207" t="s">
        <v>163</v>
      </c>
      <c r="AK29" s="204" t="s">
        <v>163</v>
      </c>
      <c r="AL29" s="208" t="s">
        <v>571</v>
      </c>
      <c r="AM29" s="221">
        <v>1</v>
      </c>
      <c r="AN29" s="202" t="s">
        <v>1470</v>
      </c>
      <c r="AO29" s="203">
        <v>1</v>
      </c>
      <c r="AP29" s="210" t="s">
        <v>705</v>
      </c>
      <c r="AQ29" s="204" t="s">
        <v>163</v>
      </c>
      <c r="AR29" s="211"/>
      <c r="AS29" s="211" t="s">
        <v>1834</v>
      </c>
      <c r="AT29" s="212">
        <v>1</v>
      </c>
      <c r="AU29" s="213" t="s">
        <v>150</v>
      </c>
      <c r="AV29" s="195" t="s">
        <v>163</v>
      </c>
      <c r="AW29" s="195" t="s">
        <v>163</v>
      </c>
      <c r="AX29" s="195" t="s">
        <v>163</v>
      </c>
      <c r="AY29" s="195" t="s">
        <v>163</v>
      </c>
      <c r="AZ29" s="195" t="s">
        <v>163</v>
      </c>
      <c r="BA29" s="214">
        <v>1</v>
      </c>
      <c r="BB29" s="215" t="s">
        <v>163</v>
      </c>
      <c r="BC29" s="216" t="s">
        <v>163</v>
      </c>
      <c r="BD29" s="208" t="s">
        <v>163</v>
      </c>
      <c r="BE29" s="217" t="s">
        <v>163</v>
      </c>
      <c r="BF29" s="218" t="s">
        <v>163</v>
      </c>
      <c r="BG29" s="219">
        <v>2024.0208</v>
      </c>
      <c r="BH29" s="220" t="s">
        <v>347</v>
      </c>
      <c r="BI29" s="220">
        <v>1</v>
      </c>
      <c r="BJ29" s="220" t="s">
        <v>321</v>
      </c>
      <c r="BK29" s="209">
        <v>0</v>
      </c>
      <c r="BL29" s="221" t="s">
        <v>346</v>
      </c>
      <c r="BM29" s="163" t="s">
        <v>1416</v>
      </c>
      <c r="BN29" s="163" t="s">
        <v>1537</v>
      </c>
      <c r="BO29" s="163" t="s">
        <v>1538</v>
      </c>
      <c r="BP29" s="163" t="s">
        <v>1550</v>
      </c>
      <c r="BQ29" s="163" t="s">
        <v>1651</v>
      </c>
      <c r="BR29" s="163" t="s">
        <v>1642</v>
      </c>
      <c r="BS29" s="163" t="s">
        <v>1417</v>
      </c>
      <c r="BT29" s="163" t="s">
        <v>1418</v>
      </c>
      <c r="BU29" s="163" t="s">
        <v>1419</v>
      </c>
      <c r="BV29" s="163" t="s">
        <v>1420</v>
      </c>
      <c r="BW29" s="163" t="s">
        <v>1421</v>
      </c>
      <c r="BX29" s="163" t="s">
        <v>1422</v>
      </c>
      <c r="BY29" s="163" t="s">
        <v>1423</v>
      </c>
      <c r="BZ29" s="163" t="s">
        <v>1424</v>
      </c>
      <c r="CA29" s="163" t="s">
        <v>1425</v>
      </c>
      <c r="CB29" s="163"/>
      <c r="CC29" s="163"/>
      <c r="CD29" s="681"/>
      <c r="CE29" s="11" t="s">
        <v>2091</v>
      </c>
      <c r="CH29" s="11">
        <f t="shared" si="1"/>
        <v>9</v>
      </c>
    </row>
    <row r="30" spans="1:86" s="487" customFormat="1" ht="13.8" thickBot="1" x14ac:dyDescent="0.3">
      <c r="A30" s="568" t="s">
        <v>1411</v>
      </c>
      <c r="B30" s="569">
        <v>387</v>
      </c>
      <c r="C30" s="570" t="s">
        <v>2022</v>
      </c>
      <c r="D30" s="572">
        <v>0.5</v>
      </c>
      <c r="E30" s="573" t="s">
        <v>1915</v>
      </c>
      <c r="F30" s="573"/>
      <c r="G30" s="573"/>
      <c r="H30" s="573" t="s">
        <v>2012</v>
      </c>
      <c r="I30" s="574" t="s">
        <v>1670</v>
      </c>
      <c r="J30" s="574" t="s">
        <v>1427</v>
      </c>
      <c r="K30" s="574" t="s">
        <v>1753</v>
      </c>
      <c r="L30" s="575">
        <v>0.05</v>
      </c>
      <c r="M30" s="575">
        <v>0.05</v>
      </c>
      <c r="N30" s="575">
        <v>0.05</v>
      </c>
      <c r="O30" s="575">
        <v>0.05</v>
      </c>
      <c r="P30" s="575">
        <v>0.05</v>
      </c>
      <c r="Q30" s="576">
        <v>0.05</v>
      </c>
      <c r="R30" s="497" t="s">
        <v>901</v>
      </c>
      <c r="S30" s="577" t="s">
        <v>2063</v>
      </c>
      <c r="T30" s="578">
        <v>0</v>
      </c>
      <c r="U30" s="579">
        <v>0</v>
      </c>
      <c r="V30" s="573"/>
      <c r="W30" s="573"/>
      <c r="X30" s="573"/>
      <c r="Y30" s="573"/>
      <c r="Z30" s="519" t="s">
        <v>1727</v>
      </c>
      <c r="AA30" s="580" t="s">
        <v>176</v>
      </c>
      <c r="AB30" s="580" t="s">
        <v>182</v>
      </c>
      <c r="AC30" s="579">
        <v>0.5</v>
      </c>
      <c r="AD30" s="573"/>
      <c r="AE30" s="573"/>
      <c r="AF30" s="573"/>
      <c r="AG30" s="573"/>
      <c r="AH30" s="573"/>
      <c r="AI30" s="573"/>
      <c r="AJ30" s="581" t="s">
        <v>163</v>
      </c>
      <c r="AK30" s="579" t="s">
        <v>163</v>
      </c>
      <c r="AL30" s="582" t="s">
        <v>572</v>
      </c>
      <c r="AM30" s="583">
        <v>0.5</v>
      </c>
      <c r="AN30" s="577" t="s">
        <v>1471</v>
      </c>
      <c r="AO30" s="578">
        <v>0.5</v>
      </c>
      <c r="AP30" s="584" t="s">
        <v>705</v>
      </c>
      <c r="AQ30" s="579" t="s">
        <v>163</v>
      </c>
      <c r="AR30" s="585"/>
      <c r="AS30" s="585" t="s">
        <v>1797</v>
      </c>
      <c r="AT30" s="586">
        <v>0.5</v>
      </c>
      <c r="AU30" s="587" t="s">
        <v>150</v>
      </c>
      <c r="AV30" s="571" t="s">
        <v>172</v>
      </c>
      <c r="AW30" s="571">
        <v>0</v>
      </c>
      <c r="AX30" s="571">
        <v>0</v>
      </c>
      <c r="AY30" s="571">
        <v>0</v>
      </c>
      <c r="AZ30" s="571">
        <v>0</v>
      </c>
      <c r="BA30" s="588"/>
      <c r="BB30" s="589" t="s">
        <v>163</v>
      </c>
      <c r="BC30" s="590" t="s">
        <v>163</v>
      </c>
      <c r="BD30" s="582" t="s">
        <v>163</v>
      </c>
      <c r="BE30" s="591" t="s">
        <v>163</v>
      </c>
      <c r="BF30" s="592" t="s">
        <v>163</v>
      </c>
      <c r="BG30" s="593">
        <v>2024.0179000000001</v>
      </c>
      <c r="BH30" s="594" t="s">
        <v>347</v>
      </c>
      <c r="BI30" s="594">
        <v>0.5</v>
      </c>
      <c r="BJ30" s="594" t="s">
        <v>321</v>
      </c>
      <c r="BK30" s="583">
        <v>0</v>
      </c>
      <c r="BL30" s="595" t="s">
        <v>346</v>
      </c>
      <c r="BM30" s="486" t="s">
        <v>1441</v>
      </c>
      <c r="BN30" s="486" t="s">
        <v>1539</v>
      </c>
      <c r="BO30" s="486" t="s">
        <v>1540</v>
      </c>
      <c r="BP30" s="486" t="s">
        <v>1551</v>
      </c>
      <c r="BQ30" s="486" t="s">
        <v>1651</v>
      </c>
      <c r="BR30" s="486" t="s">
        <v>1642</v>
      </c>
      <c r="BS30" s="486" t="s">
        <v>1412</v>
      </c>
      <c r="BT30" s="486" t="s">
        <v>1413</v>
      </c>
      <c r="BU30" s="486" t="s">
        <v>1414</v>
      </c>
      <c r="BV30" s="486" t="s">
        <v>1415</v>
      </c>
      <c r="BW30" s="486"/>
      <c r="BX30" s="486"/>
      <c r="BY30" s="486"/>
      <c r="BZ30" s="486"/>
      <c r="CA30" s="486"/>
      <c r="CB30" s="486"/>
      <c r="CC30" s="486"/>
      <c r="CD30" s="682"/>
      <c r="CE30" s="487" t="s">
        <v>2091</v>
      </c>
      <c r="CH30" s="487">
        <f t="shared" si="1"/>
        <v>4</v>
      </c>
    </row>
    <row r="31" spans="1:86" ht="13.8" thickBot="1" x14ac:dyDescent="0.3">
      <c r="A31" s="133"/>
      <c r="B31" s="134"/>
      <c r="C31" s="108" t="s">
        <v>39</v>
      </c>
      <c r="D31" s="265"/>
      <c r="E31" s="143"/>
      <c r="F31" s="143"/>
      <c r="G31" s="143"/>
      <c r="H31" s="143"/>
      <c r="I31" s="266"/>
      <c r="J31" s="266"/>
      <c r="K31" s="266"/>
      <c r="L31" s="136"/>
      <c r="M31" s="136"/>
      <c r="N31" s="136"/>
      <c r="O31" s="136"/>
      <c r="P31" s="136"/>
      <c r="Q31" s="138"/>
      <c r="R31" s="139"/>
      <c r="S31" s="140"/>
      <c r="T31" s="141"/>
      <c r="U31" s="142"/>
      <c r="V31" s="143"/>
      <c r="W31" s="143"/>
      <c r="X31" s="143"/>
      <c r="Y31" s="143"/>
      <c r="Z31" s="140"/>
      <c r="AA31" s="144"/>
      <c r="AB31" s="144"/>
      <c r="AC31" s="142"/>
      <c r="AD31" s="143"/>
      <c r="AE31" s="143"/>
      <c r="AF31" s="143"/>
      <c r="AG31" s="143"/>
      <c r="AH31" s="143"/>
      <c r="AI31" s="143"/>
      <c r="AJ31" s="145"/>
      <c r="AK31" s="142"/>
      <c r="AL31" s="146"/>
      <c r="AM31" s="147"/>
      <c r="AN31" s="340"/>
      <c r="AO31" s="141"/>
      <c r="AP31" s="341"/>
      <c r="AQ31" s="142"/>
      <c r="AR31" s="151"/>
      <c r="AS31" s="151"/>
      <c r="AT31" s="152"/>
      <c r="AU31" s="153"/>
      <c r="AV31" s="154"/>
      <c r="AW31" s="154"/>
      <c r="AX31" s="154"/>
      <c r="AY31" s="154"/>
      <c r="AZ31" s="154"/>
      <c r="BA31" s="155"/>
      <c r="BB31" s="268"/>
      <c r="BC31" s="156"/>
      <c r="BD31" s="146"/>
      <c r="BE31" s="157"/>
      <c r="BF31" s="158"/>
      <c r="BG31" s="159"/>
      <c r="BH31" s="160"/>
      <c r="BI31" s="160"/>
      <c r="BJ31" s="160"/>
      <c r="BK31" s="147"/>
      <c r="BL31" s="161"/>
      <c r="BM31" s="269"/>
      <c r="BN31" s="135"/>
      <c r="BO31" s="135"/>
      <c r="BP31" s="135"/>
      <c r="BQ31" s="135"/>
      <c r="BR31" s="135"/>
      <c r="BS31" s="270"/>
      <c r="BT31" s="270"/>
      <c r="BU31" s="270"/>
      <c r="BV31" s="270"/>
      <c r="BW31" s="270"/>
      <c r="BX31" s="270"/>
      <c r="BY31" s="270"/>
      <c r="BZ31" s="270"/>
      <c r="CA31" s="270"/>
      <c r="CB31" s="270"/>
      <c r="CC31" s="270"/>
      <c r="CD31" s="270"/>
    </row>
    <row r="32" spans="1:86" s="487" customFormat="1" x14ac:dyDescent="0.25">
      <c r="A32" s="454" t="s">
        <v>58</v>
      </c>
      <c r="B32" s="455">
        <v>388</v>
      </c>
      <c r="C32" s="596" t="s">
        <v>14</v>
      </c>
      <c r="D32" s="458">
        <v>1.5</v>
      </c>
      <c r="E32" s="459" t="s">
        <v>1915</v>
      </c>
      <c r="F32" s="459"/>
      <c r="G32" s="459"/>
      <c r="H32" s="459" t="s">
        <v>1953</v>
      </c>
      <c r="I32" s="460" t="s">
        <v>1701</v>
      </c>
      <c r="J32" s="460" t="s">
        <v>1077</v>
      </c>
      <c r="K32" s="460" t="s">
        <v>669</v>
      </c>
      <c r="L32" s="461">
        <v>0.15</v>
      </c>
      <c r="M32" s="461">
        <v>0</v>
      </c>
      <c r="N32" s="461">
        <v>0</v>
      </c>
      <c r="O32" s="461">
        <v>0</v>
      </c>
      <c r="P32" s="461">
        <v>0</v>
      </c>
      <c r="Q32" s="462">
        <v>0.15</v>
      </c>
      <c r="R32" s="463" t="s">
        <v>901</v>
      </c>
      <c r="S32" s="464" t="s">
        <v>1372</v>
      </c>
      <c r="T32" s="465">
        <v>1.5</v>
      </c>
      <c r="U32" s="466"/>
      <c r="V32" s="467"/>
      <c r="W32" s="467"/>
      <c r="X32" s="467"/>
      <c r="Y32" s="467"/>
      <c r="Z32" s="464" t="s">
        <v>192</v>
      </c>
      <c r="AA32" s="469" t="s">
        <v>193</v>
      </c>
      <c r="AB32" s="469" t="s">
        <v>182</v>
      </c>
      <c r="AC32" s="466">
        <v>1</v>
      </c>
      <c r="AD32" s="467"/>
      <c r="AE32" s="467"/>
      <c r="AF32" s="467"/>
      <c r="AG32" s="467"/>
      <c r="AH32" s="467"/>
      <c r="AI32" s="467"/>
      <c r="AJ32" s="470" t="s">
        <v>163</v>
      </c>
      <c r="AK32" s="466" t="s">
        <v>163</v>
      </c>
      <c r="AL32" s="471" t="s">
        <v>573</v>
      </c>
      <c r="AM32" s="472">
        <v>1.5</v>
      </c>
      <c r="AN32" s="464" t="s">
        <v>1217</v>
      </c>
      <c r="AO32" s="465">
        <v>1.5</v>
      </c>
      <c r="AP32" s="473" t="s">
        <v>23</v>
      </c>
      <c r="AQ32" s="466" t="s">
        <v>163</v>
      </c>
      <c r="AR32" s="474" t="s">
        <v>130</v>
      </c>
      <c r="AS32" s="474" t="s">
        <v>1798</v>
      </c>
      <c r="AT32" s="475">
        <f t="shared" ref="AT32:AT37" si="3">L32*10</f>
        <v>1.5</v>
      </c>
      <c r="AU32" s="476" t="s">
        <v>158</v>
      </c>
      <c r="AV32" s="457" t="s">
        <v>1277</v>
      </c>
      <c r="AW32" s="457">
        <v>0</v>
      </c>
      <c r="AX32" s="457">
        <v>0</v>
      </c>
      <c r="AY32" s="457">
        <v>0</v>
      </c>
      <c r="AZ32" s="457">
        <v>1.5</v>
      </c>
      <c r="BA32" s="527">
        <v>1.5</v>
      </c>
      <c r="BB32" s="478">
        <v>0.1</v>
      </c>
      <c r="BC32" s="479" t="s">
        <v>1023</v>
      </c>
      <c r="BD32" s="471" t="s">
        <v>1000</v>
      </c>
      <c r="BE32" s="480">
        <v>0</v>
      </c>
      <c r="BF32" s="481">
        <v>1</v>
      </c>
      <c r="BG32" s="482">
        <v>2024.0191</v>
      </c>
      <c r="BH32" s="483" t="s">
        <v>349</v>
      </c>
      <c r="BI32" s="483">
        <v>1.5</v>
      </c>
      <c r="BJ32" s="483" t="s">
        <v>320</v>
      </c>
      <c r="BK32" s="472">
        <v>1.5</v>
      </c>
      <c r="BL32" s="484" t="s">
        <v>346</v>
      </c>
      <c r="BM32" s="486" t="s">
        <v>30</v>
      </c>
      <c r="BN32" s="486" t="s">
        <v>1494</v>
      </c>
      <c r="BO32" s="486" t="s">
        <v>1495</v>
      </c>
      <c r="BP32" s="518" t="s">
        <v>937</v>
      </c>
      <c r="BQ32" s="518" t="s">
        <v>1651</v>
      </c>
      <c r="BR32" s="518" t="s">
        <v>1643</v>
      </c>
      <c r="BS32" s="486" t="s">
        <v>459</v>
      </c>
      <c r="BT32" s="486" t="s">
        <v>460</v>
      </c>
      <c r="BU32" s="486" t="s">
        <v>461</v>
      </c>
      <c r="BV32" s="486" t="s">
        <v>462</v>
      </c>
      <c r="BW32" s="486" t="s">
        <v>463</v>
      </c>
      <c r="BX32" s="486" t="s">
        <v>464</v>
      </c>
      <c r="BY32" s="486" t="s">
        <v>465</v>
      </c>
      <c r="BZ32" s="486"/>
      <c r="CA32" s="486"/>
      <c r="CB32" s="486"/>
      <c r="CC32" s="486"/>
      <c r="CD32" s="682"/>
      <c r="CE32" s="487" t="s">
        <v>2091</v>
      </c>
      <c r="CH32" s="487">
        <f t="shared" si="1"/>
        <v>7</v>
      </c>
    </row>
    <row r="33" spans="1:86" ht="26.4" x14ac:dyDescent="0.25">
      <c r="A33" s="192" t="s">
        <v>59</v>
      </c>
      <c r="B33" s="193">
        <v>389</v>
      </c>
      <c r="C33" s="343" t="s">
        <v>16</v>
      </c>
      <c r="D33" s="196">
        <v>2.5</v>
      </c>
      <c r="E33" s="197" t="s">
        <v>1916</v>
      </c>
      <c r="F33" s="197"/>
      <c r="G33" s="197"/>
      <c r="H33" s="197" t="s">
        <v>1954</v>
      </c>
      <c r="I33" s="198" t="s">
        <v>1700</v>
      </c>
      <c r="J33" s="198" t="s">
        <v>1078</v>
      </c>
      <c r="K33" s="198" t="s">
        <v>667</v>
      </c>
      <c r="L33" s="199">
        <v>0.25</v>
      </c>
      <c r="M33" s="199">
        <v>0</v>
      </c>
      <c r="N33" s="199">
        <v>0</v>
      </c>
      <c r="O33" s="199">
        <v>0</v>
      </c>
      <c r="P33" s="199">
        <v>0</v>
      </c>
      <c r="Q33" s="200">
        <v>0.25</v>
      </c>
      <c r="R33" s="201" t="s">
        <v>901</v>
      </c>
      <c r="S33" s="202" t="s">
        <v>1373</v>
      </c>
      <c r="T33" s="203">
        <v>2.5</v>
      </c>
      <c r="U33" s="204"/>
      <c r="V33" s="205"/>
      <c r="W33" s="205"/>
      <c r="X33" s="205"/>
      <c r="Y33" s="205"/>
      <c r="Z33" s="202" t="s">
        <v>194</v>
      </c>
      <c r="AA33" s="206" t="s">
        <v>193</v>
      </c>
      <c r="AB33" s="206" t="s">
        <v>182</v>
      </c>
      <c r="AC33" s="204">
        <v>1.5</v>
      </c>
      <c r="AD33" s="205"/>
      <c r="AE33" s="205"/>
      <c r="AF33" s="205"/>
      <c r="AG33" s="205"/>
      <c r="AH33" s="205"/>
      <c r="AI33" s="205"/>
      <c r="AJ33" s="207" t="s">
        <v>163</v>
      </c>
      <c r="AK33" s="204" t="s">
        <v>163</v>
      </c>
      <c r="AL33" s="208" t="s">
        <v>575</v>
      </c>
      <c r="AM33" s="209">
        <v>2.5</v>
      </c>
      <c r="AN33" s="202" t="s">
        <v>1218</v>
      </c>
      <c r="AO33" s="203">
        <v>2.5</v>
      </c>
      <c r="AP33" s="210" t="s">
        <v>23</v>
      </c>
      <c r="AQ33" s="204" t="s">
        <v>163</v>
      </c>
      <c r="AR33" s="211" t="s">
        <v>121</v>
      </c>
      <c r="AS33" s="211" t="s">
        <v>1799</v>
      </c>
      <c r="AT33" s="212">
        <f t="shared" si="3"/>
        <v>2.5</v>
      </c>
      <c r="AU33" s="213" t="s">
        <v>158</v>
      </c>
      <c r="AV33" s="195" t="s">
        <v>1279</v>
      </c>
      <c r="AW33" s="195">
        <v>0</v>
      </c>
      <c r="AX33" s="195">
        <v>0</v>
      </c>
      <c r="AY33" s="195">
        <v>0</v>
      </c>
      <c r="AZ33" s="195">
        <v>2.5</v>
      </c>
      <c r="BA33" s="214">
        <v>2.5</v>
      </c>
      <c r="BB33" s="215">
        <v>0.2</v>
      </c>
      <c r="BC33" s="216" t="s">
        <v>1024</v>
      </c>
      <c r="BD33" s="208" t="s">
        <v>998</v>
      </c>
      <c r="BE33" s="217">
        <v>0</v>
      </c>
      <c r="BF33" s="218">
        <v>2</v>
      </c>
      <c r="BG33" s="219">
        <v>2024.0173</v>
      </c>
      <c r="BH33" s="220" t="s">
        <v>24</v>
      </c>
      <c r="BI33" s="220">
        <v>2</v>
      </c>
      <c r="BJ33" s="220" t="s">
        <v>320</v>
      </c>
      <c r="BK33" s="209">
        <v>2</v>
      </c>
      <c r="BL33" s="221" t="s">
        <v>346</v>
      </c>
      <c r="BM33" s="163" t="s">
        <v>99</v>
      </c>
      <c r="BN33" s="163" t="s">
        <v>1496</v>
      </c>
      <c r="BO33" s="163" t="s">
        <v>1497</v>
      </c>
      <c r="BP33" s="222" t="s">
        <v>938</v>
      </c>
      <c r="BQ33" s="222" t="s">
        <v>1651</v>
      </c>
      <c r="BR33" s="222" t="s">
        <v>1643</v>
      </c>
      <c r="BS33" s="163" t="s">
        <v>466</v>
      </c>
      <c r="BT33" s="163" t="s">
        <v>467</v>
      </c>
      <c r="BU33" s="163" t="s">
        <v>468</v>
      </c>
      <c r="BV33" s="163" t="s">
        <v>469</v>
      </c>
      <c r="BW33" s="163" t="s">
        <v>470</v>
      </c>
      <c r="BX33" s="163" t="s">
        <v>471</v>
      </c>
      <c r="BY33" s="163" t="s">
        <v>472</v>
      </c>
      <c r="BZ33" s="163" t="s">
        <v>473</v>
      </c>
      <c r="CA33" s="163" t="s">
        <v>474</v>
      </c>
      <c r="CB33" s="163" t="s">
        <v>475</v>
      </c>
      <c r="CC33" s="163"/>
      <c r="CD33" s="681"/>
      <c r="CE33" s="11" t="s">
        <v>2091</v>
      </c>
      <c r="CH33" s="11">
        <f t="shared" si="1"/>
        <v>10</v>
      </c>
    </row>
    <row r="34" spans="1:86" s="487" customFormat="1" ht="26.4" x14ac:dyDescent="0.25">
      <c r="A34" s="488" t="s">
        <v>60</v>
      </c>
      <c r="B34" s="489">
        <v>390</v>
      </c>
      <c r="C34" s="597" t="s">
        <v>17</v>
      </c>
      <c r="D34" s="492">
        <v>2.5</v>
      </c>
      <c r="E34" s="493" t="s">
        <v>1916</v>
      </c>
      <c r="F34" s="493"/>
      <c r="G34" s="493"/>
      <c r="H34" s="493" t="s">
        <v>1955</v>
      </c>
      <c r="I34" s="494" t="s">
        <v>1699</v>
      </c>
      <c r="J34" s="494" t="s">
        <v>1467</v>
      </c>
      <c r="K34" s="494" t="s">
        <v>890</v>
      </c>
      <c r="L34" s="495">
        <v>0.25</v>
      </c>
      <c r="M34" s="495">
        <v>0</v>
      </c>
      <c r="N34" s="495">
        <v>0</v>
      </c>
      <c r="O34" s="495">
        <v>0</v>
      </c>
      <c r="P34" s="495">
        <v>0</v>
      </c>
      <c r="Q34" s="496">
        <v>0.25</v>
      </c>
      <c r="R34" s="497" t="s">
        <v>901</v>
      </c>
      <c r="S34" s="498" t="s">
        <v>1374</v>
      </c>
      <c r="T34" s="499">
        <v>2.5</v>
      </c>
      <c r="U34" s="500"/>
      <c r="V34" s="501"/>
      <c r="W34" s="501"/>
      <c r="X34" s="501"/>
      <c r="Y34" s="501"/>
      <c r="Z34" s="498" t="s">
        <v>195</v>
      </c>
      <c r="AA34" s="502" t="s">
        <v>193</v>
      </c>
      <c r="AB34" s="502" t="s">
        <v>182</v>
      </c>
      <c r="AC34" s="500">
        <v>1.5</v>
      </c>
      <c r="AD34" s="501"/>
      <c r="AE34" s="501"/>
      <c r="AF34" s="501"/>
      <c r="AG34" s="501"/>
      <c r="AH34" s="501"/>
      <c r="AI34" s="501"/>
      <c r="AJ34" s="503" t="s">
        <v>163</v>
      </c>
      <c r="AK34" s="500" t="s">
        <v>163</v>
      </c>
      <c r="AL34" s="504" t="s">
        <v>575</v>
      </c>
      <c r="AM34" s="505">
        <v>2.5</v>
      </c>
      <c r="AN34" s="520" t="s">
        <v>1219</v>
      </c>
      <c r="AO34" s="499">
        <v>2.5</v>
      </c>
      <c r="AP34" s="506" t="s">
        <v>23</v>
      </c>
      <c r="AQ34" s="500" t="s">
        <v>163</v>
      </c>
      <c r="AR34" s="507" t="s">
        <v>122</v>
      </c>
      <c r="AS34" s="507" t="s">
        <v>1800</v>
      </c>
      <c r="AT34" s="508">
        <f t="shared" si="3"/>
        <v>2.5</v>
      </c>
      <c r="AU34" s="509" t="s">
        <v>158</v>
      </c>
      <c r="AV34" s="491" t="s">
        <v>1280</v>
      </c>
      <c r="AW34" s="491">
        <v>0</v>
      </c>
      <c r="AX34" s="491">
        <v>0</v>
      </c>
      <c r="AY34" s="491">
        <v>0</v>
      </c>
      <c r="AZ34" s="491">
        <v>2.5</v>
      </c>
      <c r="BA34" s="510">
        <v>2.5</v>
      </c>
      <c r="BB34" s="511">
        <v>0.2</v>
      </c>
      <c r="BC34" s="512" t="s">
        <v>1025</v>
      </c>
      <c r="BD34" s="504" t="s">
        <v>997</v>
      </c>
      <c r="BE34" s="513">
        <v>0</v>
      </c>
      <c r="BF34" s="514">
        <v>2</v>
      </c>
      <c r="BG34" s="515">
        <v>2024.0174</v>
      </c>
      <c r="BH34" s="516" t="s">
        <v>24</v>
      </c>
      <c r="BI34" s="516">
        <v>2.5</v>
      </c>
      <c r="BJ34" s="516" t="s">
        <v>320</v>
      </c>
      <c r="BK34" s="505">
        <v>2.5</v>
      </c>
      <c r="BL34" s="517" t="s">
        <v>346</v>
      </c>
      <c r="BM34" s="486" t="s">
        <v>99</v>
      </c>
      <c r="BN34" s="486" t="s">
        <v>1498</v>
      </c>
      <c r="BO34" s="486" t="s">
        <v>1497</v>
      </c>
      <c r="BP34" s="518" t="s">
        <v>938</v>
      </c>
      <c r="BQ34" s="518" t="s">
        <v>1651</v>
      </c>
      <c r="BR34" s="518" t="s">
        <v>1643</v>
      </c>
      <c r="BS34" s="486" t="s">
        <v>476</v>
      </c>
      <c r="BT34" s="486" t="s">
        <v>477</v>
      </c>
      <c r="BU34" s="486" t="s">
        <v>478</v>
      </c>
      <c r="BV34" s="486" t="s">
        <v>479</v>
      </c>
      <c r="BW34" s="486" t="s">
        <v>480</v>
      </c>
      <c r="BX34" s="486"/>
      <c r="BY34" s="486"/>
      <c r="BZ34" s="486"/>
      <c r="CA34" s="486"/>
      <c r="CB34" s="486"/>
      <c r="CC34" s="486"/>
      <c r="CD34" s="682"/>
      <c r="CE34" s="487" t="s">
        <v>2091</v>
      </c>
      <c r="CH34" s="487">
        <f t="shared" si="1"/>
        <v>5</v>
      </c>
    </row>
    <row r="35" spans="1:86" x14ac:dyDescent="0.25">
      <c r="A35" s="192" t="s">
        <v>61</v>
      </c>
      <c r="B35" s="193">
        <v>391</v>
      </c>
      <c r="C35" s="343" t="s">
        <v>1</v>
      </c>
      <c r="D35" s="196">
        <v>2</v>
      </c>
      <c r="E35" s="197" t="s">
        <v>1915</v>
      </c>
      <c r="F35" s="197"/>
      <c r="G35" s="197"/>
      <c r="H35" s="197" t="s">
        <v>1957</v>
      </c>
      <c r="I35" s="198" t="s">
        <v>1698</v>
      </c>
      <c r="J35" s="198" t="s">
        <v>1150</v>
      </c>
      <c r="K35" s="198" t="s">
        <v>666</v>
      </c>
      <c r="L35" s="199">
        <v>0.2</v>
      </c>
      <c r="M35" s="199">
        <v>0</v>
      </c>
      <c r="N35" s="199">
        <v>0.2</v>
      </c>
      <c r="O35" s="199">
        <v>0.2</v>
      </c>
      <c r="P35" s="199">
        <v>0</v>
      </c>
      <c r="Q35" s="200">
        <v>0.2</v>
      </c>
      <c r="R35" s="201" t="s">
        <v>901</v>
      </c>
      <c r="S35" s="202" t="s">
        <v>1344</v>
      </c>
      <c r="T35" s="203">
        <v>2</v>
      </c>
      <c r="U35" s="204"/>
      <c r="V35" s="205"/>
      <c r="W35" s="205"/>
      <c r="X35" s="205"/>
      <c r="Y35" s="205"/>
      <c r="Z35" s="202" t="s">
        <v>196</v>
      </c>
      <c r="AA35" s="206" t="s">
        <v>193</v>
      </c>
      <c r="AB35" s="206" t="s">
        <v>182</v>
      </c>
      <c r="AC35" s="204">
        <v>1</v>
      </c>
      <c r="AD35" s="205"/>
      <c r="AE35" s="205"/>
      <c r="AF35" s="205"/>
      <c r="AG35" s="205"/>
      <c r="AH35" s="205"/>
      <c r="AI35" s="205"/>
      <c r="AJ35" s="207" t="s">
        <v>163</v>
      </c>
      <c r="AK35" s="204" t="s">
        <v>163</v>
      </c>
      <c r="AL35" s="208" t="s">
        <v>574</v>
      </c>
      <c r="AM35" s="209">
        <v>2</v>
      </c>
      <c r="AN35" s="202" t="s">
        <v>1220</v>
      </c>
      <c r="AO35" s="203">
        <v>1.5</v>
      </c>
      <c r="AP35" s="210" t="s">
        <v>23</v>
      </c>
      <c r="AQ35" s="204" t="s">
        <v>163</v>
      </c>
      <c r="AR35" s="211" t="s">
        <v>137</v>
      </c>
      <c r="AS35" s="211" t="s">
        <v>1801</v>
      </c>
      <c r="AT35" s="212">
        <f t="shared" si="3"/>
        <v>2</v>
      </c>
      <c r="AU35" s="213" t="s">
        <v>158</v>
      </c>
      <c r="AV35" s="195" t="s">
        <v>1278</v>
      </c>
      <c r="AW35" s="195">
        <v>0</v>
      </c>
      <c r="AX35" s="195">
        <v>0</v>
      </c>
      <c r="AY35" s="195">
        <v>0</v>
      </c>
      <c r="AZ35" s="195">
        <v>2</v>
      </c>
      <c r="BA35" s="214">
        <v>2</v>
      </c>
      <c r="BB35" s="215">
        <v>0.1</v>
      </c>
      <c r="BC35" s="216" t="s">
        <v>1026</v>
      </c>
      <c r="BD35" s="208" t="s">
        <v>990</v>
      </c>
      <c r="BE35" s="217">
        <v>0</v>
      </c>
      <c r="BF35" s="218">
        <v>1</v>
      </c>
      <c r="BG35" s="219">
        <v>2024.0207</v>
      </c>
      <c r="BH35" s="220" t="s">
        <v>349</v>
      </c>
      <c r="BI35" s="220">
        <v>2</v>
      </c>
      <c r="BJ35" s="220" t="s">
        <v>320</v>
      </c>
      <c r="BK35" s="209">
        <v>2</v>
      </c>
      <c r="BL35" s="221" t="s">
        <v>346</v>
      </c>
      <c r="BM35" s="306" t="s">
        <v>1461</v>
      </c>
      <c r="BN35" s="306" t="s">
        <v>1499</v>
      </c>
      <c r="BO35" s="306" t="s">
        <v>1500</v>
      </c>
      <c r="BP35" s="222" t="s">
        <v>939</v>
      </c>
      <c r="BQ35" s="222" t="s">
        <v>1653</v>
      </c>
      <c r="BR35" s="222" t="s">
        <v>1644</v>
      </c>
      <c r="BS35" s="163" t="s">
        <v>535</v>
      </c>
      <c r="BT35" s="163" t="s">
        <v>536</v>
      </c>
      <c r="BU35" s="163" t="s">
        <v>537</v>
      </c>
      <c r="BV35" s="163" t="s">
        <v>538</v>
      </c>
      <c r="BW35" s="163"/>
      <c r="BX35" s="163"/>
      <c r="BY35" s="163"/>
      <c r="BZ35" s="163"/>
      <c r="CA35" s="163"/>
      <c r="CB35" s="163"/>
      <c r="CC35" s="163"/>
      <c r="CD35" s="681"/>
      <c r="CE35" s="11" t="s">
        <v>2091</v>
      </c>
      <c r="CH35" s="11">
        <f t="shared" si="1"/>
        <v>4</v>
      </c>
    </row>
    <row r="36" spans="1:86" s="487" customFormat="1" x14ac:dyDescent="0.25">
      <c r="A36" s="488" t="s">
        <v>62</v>
      </c>
      <c r="B36" s="489">
        <v>392</v>
      </c>
      <c r="C36" s="597" t="s">
        <v>13</v>
      </c>
      <c r="D36" s="492">
        <v>3</v>
      </c>
      <c r="E36" s="493" t="s">
        <v>1917</v>
      </c>
      <c r="F36" s="493"/>
      <c r="G36" s="493"/>
      <c r="H36" s="493" t="s">
        <v>1958</v>
      </c>
      <c r="I36" s="494" t="s">
        <v>1697</v>
      </c>
      <c r="J36" s="494" t="s">
        <v>1151</v>
      </c>
      <c r="K36" s="494" t="s">
        <v>664</v>
      </c>
      <c r="L36" s="495">
        <v>0.3</v>
      </c>
      <c r="M36" s="495">
        <v>0.3</v>
      </c>
      <c r="N36" s="495">
        <v>0.3</v>
      </c>
      <c r="O36" s="495">
        <v>0.3</v>
      </c>
      <c r="P36" s="495">
        <v>0</v>
      </c>
      <c r="Q36" s="496">
        <v>0</v>
      </c>
      <c r="R36" s="497" t="s">
        <v>901</v>
      </c>
      <c r="S36" s="498" t="s">
        <v>1345</v>
      </c>
      <c r="T36" s="499">
        <v>3</v>
      </c>
      <c r="U36" s="500"/>
      <c r="V36" s="501"/>
      <c r="W36" s="501"/>
      <c r="X36" s="501"/>
      <c r="Y36" s="501"/>
      <c r="Z36" s="498" t="s">
        <v>197</v>
      </c>
      <c r="AA36" s="502" t="s">
        <v>181</v>
      </c>
      <c r="AB36" s="502" t="s">
        <v>182</v>
      </c>
      <c r="AC36" s="500">
        <v>2</v>
      </c>
      <c r="AD36" s="501"/>
      <c r="AE36" s="501"/>
      <c r="AF36" s="501"/>
      <c r="AG36" s="501"/>
      <c r="AH36" s="501"/>
      <c r="AI36" s="501"/>
      <c r="AJ36" s="503" t="s">
        <v>163</v>
      </c>
      <c r="AK36" s="500" t="s">
        <v>163</v>
      </c>
      <c r="AL36" s="504" t="s">
        <v>576</v>
      </c>
      <c r="AM36" s="505">
        <v>3</v>
      </c>
      <c r="AN36" s="498" t="s">
        <v>1221</v>
      </c>
      <c r="AO36" s="499">
        <v>3</v>
      </c>
      <c r="AP36" s="506" t="s">
        <v>23</v>
      </c>
      <c r="AQ36" s="500" t="s">
        <v>163</v>
      </c>
      <c r="AR36" s="507" t="s">
        <v>141</v>
      </c>
      <c r="AS36" s="507" t="s">
        <v>1802</v>
      </c>
      <c r="AT36" s="508">
        <f t="shared" si="3"/>
        <v>3</v>
      </c>
      <c r="AU36" s="509" t="s">
        <v>158</v>
      </c>
      <c r="AV36" s="491" t="s">
        <v>1281</v>
      </c>
      <c r="AW36" s="491">
        <v>3</v>
      </c>
      <c r="AX36" s="491">
        <v>0</v>
      </c>
      <c r="AY36" s="491">
        <v>0</v>
      </c>
      <c r="AZ36" s="491">
        <v>3</v>
      </c>
      <c r="BA36" s="510">
        <v>3</v>
      </c>
      <c r="BB36" s="511">
        <v>0.3</v>
      </c>
      <c r="BC36" s="512" t="s">
        <v>1027</v>
      </c>
      <c r="BD36" s="504" t="s">
        <v>994</v>
      </c>
      <c r="BE36" s="513">
        <v>0</v>
      </c>
      <c r="BF36" s="514">
        <v>2.5</v>
      </c>
      <c r="BG36" s="515">
        <v>2024.0217</v>
      </c>
      <c r="BH36" s="516" t="s">
        <v>349</v>
      </c>
      <c r="BI36" s="516">
        <v>3</v>
      </c>
      <c r="BJ36" s="516" t="s">
        <v>320</v>
      </c>
      <c r="BK36" s="505">
        <v>3</v>
      </c>
      <c r="BL36" s="517" t="s">
        <v>346</v>
      </c>
      <c r="BM36" s="486" t="s">
        <v>31</v>
      </c>
      <c r="BN36" s="486" t="s">
        <v>1501</v>
      </c>
      <c r="BO36" s="486" t="s">
        <v>1502</v>
      </c>
      <c r="BP36" s="518" t="s">
        <v>940</v>
      </c>
      <c r="BQ36" s="518" t="s">
        <v>1652</v>
      </c>
      <c r="BR36" s="518" t="s">
        <v>1644</v>
      </c>
      <c r="BS36" s="486" t="s">
        <v>539</v>
      </c>
      <c r="BT36" s="486" t="s">
        <v>540</v>
      </c>
      <c r="BU36" s="486" t="s">
        <v>545</v>
      </c>
      <c r="BV36" s="486" t="s">
        <v>544</v>
      </c>
      <c r="BW36" s="486" t="s">
        <v>541</v>
      </c>
      <c r="BX36" s="486" t="s">
        <v>543</v>
      </c>
      <c r="BY36" s="486" t="s">
        <v>542</v>
      </c>
      <c r="BZ36" s="486" t="s">
        <v>546</v>
      </c>
      <c r="CA36" s="486"/>
      <c r="CB36" s="486"/>
      <c r="CC36" s="486"/>
      <c r="CD36" s="682"/>
      <c r="CE36" s="487" t="s">
        <v>2091</v>
      </c>
      <c r="CH36" s="487">
        <f t="shared" si="1"/>
        <v>8</v>
      </c>
    </row>
    <row r="37" spans="1:86" ht="13.8" thickBot="1" x14ac:dyDescent="0.3">
      <c r="A37" s="309" t="s">
        <v>169</v>
      </c>
      <c r="B37" s="344">
        <v>393</v>
      </c>
      <c r="C37" s="345" t="s">
        <v>167</v>
      </c>
      <c r="D37" s="346">
        <v>1</v>
      </c>
      <c r="E37" s="312" t="s">
        <v>1915</v>
      </c>
      <c r="F37" s="312" t="s">
        <v>1915</v>
      </c>
      <c r="G37" s="312" t="s">
        <v>1915</v>
      </c>
      <c r="H37" s="312" t="s">
        <v>1956</v>
      </c>
      <c r="I37" s="313" t="s">
        <v>1696</v>
      </c>
      <c r="J37" s="313" t="s">
        <v>1094</v>
      </c>
      <c r="K37" s="313" t="s">
        <v>665</v>
      </c>
      <c r="L37" s="314">
        <v>0.1</v>
      </c>
      <c r="M37" s="314">
        <v>0</v>
      </c>
      <c r="N37" s="314">
        <v>0</v>
      </c>
      <c r="O37" s="314">
        <v>0</v>
      </c>
      <c r="P37" s="314">
        <v>0</v>
      </c>
      <c r="Q37" s="315">
        <v>0.1</v>
      </c>
      <c r="R37" s="316" t="s">
        <v>901</v>
      </c>
      <c r="S37" s="317" t="s">
        <v>1375</v>
      </c>
      <c r="T37" s="318">
        <v>1.5</v>
      </c>
      <c r="U37" s="304"/>
      <c r="V37" s="319"/>
      <c r="W37" s="319"/>
      <c r="X37" s="319"/>
      <c r="Y37" s="319"/>
      <c r="Z37" s="317" t="s">
        <v>198</v>
      </c>
      <c r="AA37" s="320" t="s">
        <v>176</v>
      </c>
      <c r="AB37" s="320" t="s">
        <v>182</v>
      </c>
      <c r="AC37" s="304">
        <v>1</v>
      </c>
      <c r="AD37" s="319"/>
      <c r="AE37" s="319"/>
      <c r="AF37" s="319"/>
      <c r="AG37" s="319"/>
      <c r="AH37" s="319"/>
      <c r="AI37" s="319"/>
      <c r="AJ37" s="321" t="s">
        <v>163</v>
      </c>
      <c r="AK37" s="304" t="s">
        <v>163</v>
      </c>
      <c r="AL37" s="322" t="s">
        <v>571</v>
      </c>
      <c r="AM37" s="323">
        <v>1</v>
      </c>
      <c r="AN37" s="347" t="s">
        <v>1222</v>
      </c>
      <c r="AO37" s="318">
        <v>1</v>
      </c>
      <c r="AP37" s="324" t="s">
        <v>23</v>
      </c>
      <c r="AQ37" s="304" t="s">
        <v>163</v>
      </c>
      <c r="AR37" s="305" t="s">
        <v>175</v>
      </c>
      <c r="AS37" s="305" t="s">
        <v>1803</v>
      </c>
      <c r="AT37" s="325">
        <f t="shared" si="3"/>
        <v>1</v>
      </c>
      <c r="AU37" s="326" t="s">
        <v>158</v>
      </c>
      <c r="AV37" s="311" t="s">
        <v>1282</v>
      </c>
      <c r="AW37" s="311">
        <v>0</v>
      </c>
      <c r="AX37" s="311">
        <v>0</v>
      </c>
      <c r="AY37" s="311">
        <v>0</v>
      </c>
      <c r="AZ37" s="311">
        <v>1</v>
      </c>
      <c r="BA37" s="327">
        <v>1</v>
      </c>
      <c r="BB37" s="328">
        <v>0</v>
      </c>
      <c r="BC37" s="329" t="s">
        <v>172</v>
      </c>
      <c r="BD37" s="322" t="s">
        <v>991</v>
      </c>
      <c r="BE37" s="330">
        <v>0</v>
      </c>
      <c r="BF37" s="331">
        <v>1.5</v>
      </c>
      <c r="BG37" s="332">
        <v>2024.021</v>
      </c>
      <c r="BH37" s="333" t="s">
        <v>349</v>
      </c>
      <c r="BI37" s="333">
        <v>1</v>
      </c>
      <c r="BJ37" s="333" t="s">
        <v>320</v>
      </c>
      <c r="BK37" s="323">
        <v>1</v>
      </c>
      <c r="BL37" s="334" t="s">
        <v>346</v>
      </c>
      <c r="BM37" s="163" t="s">
        <v>168</v>
      </c>
      <c r="BN37" s="163" t="s">
        <v>1503</v>
      </c>
      <c r="BO37" s="163" t="s">
        <v>1504</v>
      </c>
      <c r="BP37" s="222" t="s">
        <v>1552</v>
      </c>
      <c r="BQ37" s="222" t="s">
        <v>1653</v>
      </c>
      <c r="BR37" s="222" t="s">
        <v>1643</v>
      </c>
      <c r="BS37" s="163" t="s">
        <v>547</v>
      </c>
      <c r="BT37" s="163" t="s">
        <v>548</v>
      </c>
      <c r="BU37" s="163" t="s">
        <v>549</v>
      </c>
      <c r="BV37" s="163" t="s">
        <v>550</v>
      </c>
      <c r="BW37" s="163" t="s">
        <v>551</v>
      </c>
      <c r="BX37" s="163"/>
      <c r="BY37" s="163"/>
      <c r="BZ37" s="163"/>
      <c r="CA37" s="163"/>
      <c r="CB37" s="163"/>
      <c r="CC37" s="163"/>
      <c r="CD37" s="681"/>
      <c r="CE37" s="11" t="s">
        <v>2091</v>
      </c>
      <c r="CH37" s="11">
        <f t="shared" si="1"/>
        <v>5</v>
      </c>
    </row>
    <row r="38" spans="1:86" ht="13.8" thickBot="1" x14ac:dyDescent="0.3">
      <c r="A38" s="133"/>
      <c r="B38" s="134"/>
      <c r="C38" s="108" t="s">
        <v>40</v>
      </c>
      <c r="D38" s="265"/>
      <c r="E38" s="143"/>
      <c r="F38" s="143"/>
      <c r="G38" s="143"/>
      <c r="H38" s="143"/>
      <c r="I38" s="266"/>
      <c r="J38" s="266"/>
      <c r="K38" s="266"/>
      <c r="L38" s="136"/>
      <c r="M38" s="136"/>
      <c r="N38" s="136"/>
      <c r="O38" s="136"/>
      <c r="P38" s="136"/>
      <c r="Q38" s="138"/>
      <c r="R38" s="139"/>
      <c r="S38" s="140"/>
      <c r="T38" s="141"/>
      <c r="U38" s="142"/>
      <c r="V38" s="143"/>
      <c r="W38" s="143"/>
      <c r="X38" s="143"/>
      <c r="Y38" s="143"/>
      <c r="Z38" s="140"/>
      <c r="AA38" s="144"/>
      <c r="AB38" s="144"/>
      <c r="AC38" s="142"/>
      <c r="AD38" s="143"/>
      <c r="AE38" s="143"/>
      <c r="AF38" s="143"/>
      <c r="AG38" s="143"/>
      <c r="AH38" s="143"/>
      <c r="AI38" s="143"/>
      <c r="AJ38" s="145"/>
      <c r="AK38" s="142"/>
      <c r="AL38" s="146"/>
      <c r="AM38" s="147"/>
      <c r="AN38" s="140"/>
      <c r="AO38" s="141"/>
      <c r="AP38" s="341"/>
      <c r="AQ38" s="142"/>
      <c r="AR38" s="151"/>
      <c r="AS38" s="151"/>
      <c r="AT38" s="152"/>
      <c r="AU38" s="153"/>
      <c r="AV38" s="154"/>
      <c r="AW38" s="154"/>
      <c r="AX38" s="154"/>
      <c r="AY38" s="154"/>
      <c r="AZ38" s="154"/>
      <c r="BA38" s="155"/>
      <c r="BB38" s="268"/>
      <c r="BC38" s="156"/>
      <c r="BD38" s="146"/>
      <c r="BE38" s="157"/>
      <c r="BF38" s="158"/>
      <c r="BG38" s="159"/>
      <c r="BH38" s="160"/>
      <c r="BI38" s="160"/>
      <c r="BJ38" s="160"/>
      <c r="BK38" s="147"/>
      <c r="BL38" s="161"/>
      <c r="BM38" s="269"/>
      <c r="BN38" s="135"/>
      <c r="BO38" s="135"/>
      <c r="BP38" s="135"/>
      <c r="BQ38" s="135"/>
      <c r="BR38" s="135"/>
      <c r="BS38" s="270"/>
      <c r="BT38" s="270"/>
      <c r="BU38" s="270"/>
      <c r="BV38" s="270"/>
      <c r="BW38" s="270"/>
      <c r="BX38" s="270"/>
      <c r="BY38" s="270"/>
      <c r="BZ38" s="270"/>
      <c r="CA38" s="270"/>
      <c r="CB38" s="270"/>
      <c r="CC38" s="270"/>
      <c r="CD38" s="270"/>
    </row>
    <row r="39" spans="1:86" s="487" customFormat="1" x14ac:dyDescent="0.25">
      <c r="A39" s="454" t="s">
        <v>65</v>
      </c>
      <c r="B39" s="455">
        <v>394</v>
      </c>
      <c r="C39" s="596" t="s">
        <v>15</v>
      </c>
      <c r="D39" s="458">
        <v>2</v>
      </c>
      <c r="E39" s="459" t="s">
        <v>1917</v>
      </c>
      <c r="F39" s="459"/>
      <c r="G39" s="459"/>
      <c r="H39" s="459" t="s">
        <v>1959</v>
      </c>
      <c r="I39" s="460" t="s">
        <v>1694</v>
      </c>
      <c r="J39" s="460" t="s">
        <v>1169</v>
      </c>
      <c r="K39" s="460" t="s">
        <v>663</v>
      </c>
      <c r="L39" s="461">
        <v>0.2</v>
      </c>
      <c r="M39" s="461">
        <v>0</v>
      </c>
      <c r="N39" s="461">
        <v>0.2</v>
      </c>
      <c r="O39" s="461">
        <v>0.2</v>
      </c>
      <c r="P39" s="461">
        <v>0</v>
      </c>
      <c r="Q39" s="462">
        <v>0</v>
      </c>
      <c r="R39" s="463" t="s">
        <v>901</v>
      </c>
      <c r="S39" s="464" t="s">
        <v>1350</v>
      </c>
      <c r="T39" s="465">
        <v>2</v>
      </c>
      <c r="U39" s="466"/>
      <c r="V39" s="467"/>
      <c r="W39" s="467"/>
      <c r="X39" s="467"/>
      <c r="Y39" s="467"/>
      <c r="Z39" s="464" t="s">
        <v>199</v>
      </c>
      <c r="AA39" s="469" t="s">
        <v>200</v>
      </c>
      <c r="AB39" s="469" t="s">
        <v>182</v>
      </c>
      <c r="AC39" s="466">
        <v>1.5</v>
      </c>
      <c r="AD39" s="467"/>
      <c r="AE39" s="467"/>
      <c r="AF39" s="467"/>
      <c r="AG39" s="467"/>
      <c r="AH39" s="467"/>
      <c r="AI39" s="467"/>
      <c r="AJ39" s="470" t="s">
        <v>163</v>
      </c>
      <c r="AK39" s="466" t="s">
        <v>163</v>
      </c>
      <c r="AL39" s="471" t="s">
        <v>574</v>
      </c>
      <c r="AM39" s="472">
        <v>2</v>
      </c>
      <c r="AN39" s="526" t="s">
        <v>1241</v>
      </c>
      <c r="AO39" s="465">
        <v>2</v>
      </c>
      <c r="AP39" s="473" t="s">
        <v>23</v>
      </c>
      <c r="AQ39" s="466" t="s">
        <v>163</v>
      </c>
      <c r="AR39" s="474" t="s">
        <v>132</v>
      </c>
      <c r="AS39" s="474" t="s">
        <v>1804</v>
      </c>
      <c r="AT39" s="475">
        <f>L39*10</f>
        <v>2</v>
      </c>
      <c r="AU39" s="476" t="s">
        <v>158</v>
      </c>
      <c r="AV39" s="457" t="s">
        <v>1283</v>
      </c>
      <c r="AW39" s="457">
        <v>2</v>
      </c>
      <c r="AX39" s="457">
        <v>0</v>
      </c>
      <c r="AY39" s="457">
        <v>0</v>
      </c>
      <c r="AZ39" s="457">
        <v>0</v>
      </c>
      <c r="BA39" s="527">
        <v>2</v>
      </c>
      <c r="BB39" s="478">
        <v>0.2</v>
      </c>
      <c r="BC39" s="479" t="s">
        <v>1028</v>
      </c>
      <c r="BD39" s="471" t="s">
        <v>980</v>
      </c>
      <c r="BE39" s="480">
        <v>0</v>
      </c>
      <c r="BF39" s="481">
        <v>1.5</v>
      </c>
      <c r="BG39" s="482">
        <v>2024.0193999999999</v>
      </c>
      <c r="BH39" s="483" t="s">
        <v>23</v>
      </c>
      <c r="BI39" s="483">
        <v>2</v>
      </c>
      <c r="BJ39" s="483" t="s">
        <v>320</v>
      </c>
      <c r="BK39" s="472">
        <v>2</v>
      </c>
      <c r="BL39" s="484" t="s">
        <v>321</v>
      </c>
      <c r="BM39" s="485" t="s">
        <v>100</v>
      </c>
      <c r="BN39" s="485" t="s">
        <v>1579</v>
      </c>
      <c r="BO39" s="485" t="s">
        <v>1580</v>
      </c>
      <c r="BP39" s="485" t="s">
        <v>1553</v>
      </c>
      <c r="BQ39" s="485" t="s">
        <v>1651</v>
      </c>
      <c r="BR39" s="485" t="s">
        <v>354</v>
      </c>
      <c r="BS39" s="486" t="s">
        <v>710</v>
      </c>
      <c r="BT39" s="486" t="s">
        <v>711</v>
      </c>
      <c r="BU39" s="486" t="s">
        <v>712</v>
      </c>
      <c r="BV39" s="486" t="s">
        <v>713</v>
      </c>
      <c r="BW39" s="486" t="s">
        <v>714</v>
      </c>
      <c r="BX39" s="486" t="s">
        <v>715</v>
      </c>
      <c r="BY39" s="486" t="s">
        <v>716</v>
      </c>
      <c r="BZ39" s="486"/>
      <c r="CA39" s="486"/>
      <c r="CB39" s="486"/>
      <c r="CC39" s="486"/>
      <c r="CD39" s="682"/>
      <c r="CE39" s="487" t="s">
        <v>2091</v>
      </c>
      <c r="CH39" s="487">
        <f t="shared" si="1"/>
        <v>7</v>
      </c>
    </row>
    <row r="40" spans="1:86" x14ac:dyDescent="0.25">
      <c r="A40" s="192" t="s">
        <v>519</v>
      </c>
      <c r="B40" s="193">
        <v>395</v>
      </c>
      <c r="C40" s="343" t="s">
        <v>5</v>
      </c>
      <c r="D40" s="196">
        <v>1.5</v>
      </c>
      <c r="E40" s="197" t="s">
        <v>1917</v>
      </c>
      <c r="F40" s="197"/>
      <c r="G40" s="197"/>
      <c r="H40" s="197" t="s">
        <v>1960</v>
      </c>
      <c r="I40" s="198" t="s">
        <v>1693</v>
      </c>
      <c r="J40" s="198" t="s">
        <v>1170</v>
      </c>
      <c r="K40" s="198" t="s">
        <v>662</v>
      </c>
      <c r="L40" s="199">
        <v>0.15</v>
      </c>
      <c r="M40" s="199">
        <v>0</v>
      </c>
      <c r="N40" s="199">
        <v>0.15</v>
      </c>
      <c r="O40" s="199">
        <v>0.15</v>
      </c>
      <c r="P40" s="199">
        <v>0</v>
      </c>
      <c r="Q40" s="200">
        <v>0</v>
      </c>
      <c r="R40" s="201" t="s">
        <v>901</v>
      </c>
      <c r="S40" s="202" t="s">
        <v>1382</v>
      </c>
      <c r="T40" s="203">
        <v>1.5</v>
      </c>
      <c r="U40" s="204"/>
      <c r="V40" s="205"/>
      <c r="W40" s="205"/>
      <c r="X40" s="205"/>
      <c r="Y40" s="205"/>
      <c r="Z40" s="202" t="s">
        <v>201</v>
      </c>
      <c r="AA40" s="206" t="s">
        <v>193</v>
      </c>
      <c r="AB40" s="206" t="s">
        <v>182</v>
      </c>
      <c r="AC40" s="204">
        <v>1</v>
      </c>
      <c r="AD40" s="205"/>
      <c r="AE40" s="205"/>
      <c r="AF40" s="205"/>
      <c r="AG40" s="205"/>
      <c r="AH40" s="205"/>
      <c r="AI40" s="205"/>
      <c r="AJ40" s="207" t="s">
        <v>163</v>
      </c>
      <c r="AK40" s="204" t="s">
        <v>163</v>
      </c>
      <c r="AL40" s="208" t="s">
        <v>573</v>
      </c>
      <c r="AM40" s="209">
        <v>1.5</v>
      </c>
      <c r="AN40" s="202" t="s">
        <v>1242</v>
      </c>
      <c r="AO40" s="203">
        <v>1.5</v>
      </c>
      <c r="AP40" s="210" t="s">
        <v>23</v>
      </c>
      <c r="AQ40" s="204" t="s">
        <v>163</v>
      </c>
      <c r="AR40" s="211" t="s">
        <v>149</v>
      </c>
      <c r="AS40" s="211" t="s">
        <v>1805</v>
      </c>
      <c r="AT40" s="212">
        <f>L40*10</f>
        <v>1.5</v>
      </c>
      <c r="AU40" s="213" t="s">
        <v>158</v>
      </c>
      <c r="AV40" s="195" t="s">
        <v>1284</v>
      </c>
      <c r="AW40" s="195">
        <v>1.5</v>
      </c>
      <c r="AX40" s="195">
        <v>0</v>
      </c>
      <c r="AY40" s="195">
        <v>0</v>
      </c>
      <c r="AZ40" s="195">
        <v>1.5</v>
      </c>
      <c r="BA40" s="214">
        <v>1.5</v>
      </c>
      <c r="BB40" s="215">
        <v>0.1</v>
      </c>
      <c r="BC40" s="216" t="s">
        <v>1029</v>
      </c>
      <c r="BD40" s="208" t="s">
        <v>978</v>
      </c>
      <c r="BE40" s="217">
        <v>0</v>
      </c>
      <c r="BF40" s="218">
        <v>1.5</v>
      </c>
      <c r="BG40" s="219">
        <v>2024.0235</v>
      </c>
      <c r="BH40" s="220" t="s">
        <v>23</v>
      </c>
      <c r="BI40" s="220">
        <v>1.5</v>
      </c>
      <c r="BJ40" s="220" t="s">
        <v>320</v>
      </c>
      <c r="BK40" s="209">
        <v>1.5</v>
      </c>
      <c r="BL40" s="221" t="s">
        <v>321</v>
      </c>
      <c r="BM40" s="163" t="s">
        <v>101</v>
      </c>
      <c r="BN40" s="163" t="s">
        <v>1629</v>
      </c>
      <c r="BO40" s="163" t="s">
        <v>1630</v>
      </c>
      <c r="BP40" s="163" t="s">
        <v>945</v>
      </c>
      <c r="BQ40" s="163" t="s">
        <v>1653</v>
      </c>
      <c r="BR40" s="163" t="s">
        <v>354</v>
      </c>
      <c r="BS40" s="163" t="s">
        <v>717</v>
      </c>
      <c r="BT40" s="163" t="s">
        <v>718</v>
      </c>
      <c r="BU40" s="163" t="s">
        <v>719</v>
      </c>
      <c r="BV40" s="163" t="s">
        <v>720</v>
      </c>
      <c r="BW40" s="163" t="s">
        <v>721</v>
      </c>
      <c r="BX40" s="163" t="s">
        <v>722</v>
      </c>
      <c r="BY40" s="163" t="s">
        <v>723</v>
      </c>
      <c r="BZ40" s="163"/>
      <c r="CA40" s="163"/>
      <c r="CB40" s="163"/>
      <c r="CC40" s="163"/>
      <c r="CD40" s="681"/>
      <c r="CE40" s="11" t="s">
        <v>2091</v>
      </c>
      <c r="CH40" s="11">
        <f t="shared" si="1"/>
        <v>7</v>
      </c>
    </row>
    <row r="41" spans="1:86" s="487" customFormat="1" ht="14.4" x14ac:dyDescent="0.3">
      <c r="A41" s="488" t="s">
        <v>66</v>
      </c>
      <c r="B41" s="489">
        <v>396</v>
      </c>
      <c r="C41" s="597" t="s">
        <v>1428</v>
      </c>
      <c r="D41" s="492">
        <v>1</v>
      </c>
      <c r="E41" s="493" t="s">
        <v>1915</v>
      </c>
      <c r="F41" s="493" t="s">
        <v>1915</v>
      </c>
      <c r="G41" s="493" t="s">
        <v>1915</v>
      </c>
      <c r="H41" s="493" t="s">
        <v>1961</v>
      </c>
      <c r="I41" s="494" t="s">
        <v>1677</v>
      </c>
      <c r="J41" s="494" t="s">
        <v>1404</v>
      </c>
      <c r="K41" s="494" t="s">
        <v>1753</v>
      </c>
      <c r="L41" s="495">
        <v>0.1</v>
      </c>
      <c r="M41" s="495">
        <v>0.05</v>
      </c>
      <c r="N41" s="495">
        <v>0.1</v>
      </c>
      <c r="O41" s="495">
        <v>0.1</v>
      </c>
      <c r="P41" s="495">
        <v>0</v>
      </c>
      <c r="Q41" s="496">
        <v>0.05</v>
      </c>
      <c r="R41" s="497" t="s">
        <v>901</v>
      </c>
      <c r="S41" s="498" t="s">
        <v>1466</v>
      </c>
      <c r="T41" s="499">
        <v>1</v>
      </c>
      <c r="U41" s="500"/>
      <c r="V41" s="501"/>
      <c r="W41" s="501"/>
      <c r="X41" s="501"/>
      <c r="Y41" s="501"/>
      <c r="Z41" s="519" t="s">
        <v>1736</v>
      </c>
      <c r="AA41" s="507" t="s">
        <v>1737</v>
      </c>
      <c r="AB41" s="502" t="s">
        <v>186</v>
      </c>
      <c r="AC41" s="496">
        <v>1.25</v>
      </c>
      <c r="AD41" s="501"/>
      <c r="AE41" s="501"/>
      <c r="AF41" s="501"/>
      <c r="AG41" s="501"/>
      <c r="AH41" s="501"/>
      <c r="AI41" s="501"/>
      <c r="AJ41" s="503" t="s">
        <v>163</v>
      </c>
      <c r="AK41" s="500" t="s">
        <v>163</v>
      </c>
      <c r="AL41" s="504" t="s">
        <v>571</v>
      </c>
      <c r="AM41" s="517">
        <v>1</v>
      </c>
      <c r="AN41" s="498" t="s">
        <v>1468</v>
      </c>
      <c r="AO41" s="499">
        <v>1</v>
      </c>
      <c r="AP41" s="506" t="s">
        <v>23</v>
      </c>
      <c r="AQ41" s="500" t="s">
        <v>163</v>
      </c>
      <c r="AR41" s="507"/>
      <c r="AS41" s="507" t="s">
        <v>1806</v>
      </c>
      <c r="AT41" s="508">
        <v>1</v>
      </c>
      <c r="AU41" s="509" t="s">
        <v>158</v>
      </c>
      <c r="AV41" s="491" t="s">
        <v>163</v>
      </c>
      <c r="AW41" s="491" t="s">
        <v>163</v>
      </c>
      <c r="AX41" s="491" t="s">
        <v>163</v>
      </c>
      <c r="AY41" s="491" t="s">
        <v>163</v>
      </c>
      <c r="AZ41" s="491" t="s">
        <v>163</v>
      </c>
      <c r="BA41" s="510">
        <v>1</v>
      </c>
      <c r="BB41" s="511" t="s">
        <v>163</v>
      </c>
      <c r="BC41" s="512" t="s">
        <v>163</v>
      </c>
      <c r="BD41" s="504" t="s">
        <v>163</v>
      </c>
      <c r="BE41" s="513" t="s">
        <v>163</v>
      </c>
      <c r="BF41" s="514" t="s">
        <v>163</v>
      </c>
      <c r="BG41" s="515">
        <v>2024.0216</v>
      </c>
      <c r="BH41" s="516" t="s">
        <v>23</v>
      </c>
      <c r="BI41" s="516">
        <v>1</v>
      </c>
      <c r="BJ41" s="516" t="s">
        <v>320</v>
      </c>
      <c r="BK41" s="505">
        <v>1</v>
      </c>
      <c r="BL41" s="517" t="s">
        <v>321</v>
      </c>
      <c r="BM41" s="486" t="s">
        <v>1430</v>
      </c>
      <c r="BN41" s="486" t="s">
        <v>1627</v>
      </c>
      <c r="BO41" s="486" t="s">
        <v>1628</v>
      </c>
      <c r="BP41" s="486" t="s">
        <v>1554</v>
      </c>
      <c r="BQ41" s="486" t="s">
        <v>1651</v>
      </c>
      <c r="BR41" s="486" t="s">
        <v>354</v>
      </c>
      <c r="BS41" s="486" t="s">
        <v>1442</v>
      </c>
      <c r="BT41" s="486" t="s">
        <v>1443</v>
      </c>
      <c r="BU41" s="486" t="s">
        <v>1444</v>
      </c>
      <c r="BV41" s="486" t="s">
        <v>1445</v>
      </c>
      <c r="BW41" s="486" t="s">
        <v>1446</v>
      </c>
      <c r="BX41" s="486" t="s">
        <v>1447</v>
      </c>
      <c r="BY41" s="598" t="s">
        <v>1448</v>
      </c>
      <c r="BZ41" s="486"/>
      <c r="CA41" s="486"/>
      <c r="CB41" s="486"/>
      <c r="CC41" s="486"/>
      <c r="CD41" s="682"/>
      <c r="CE41" s="487" t="s">
        <v>2091</v>
      </c>
      <c r="CH41" s="487">
        <f t="shared" si="1"/>
        <v>7</v>
      </c>
    </row>
    <row r="42" spans="1:86" x14ac:dyDescent="0.25">
      <c r="A42" s="192" t="s">
        <v>67</v>
      </c>
      <c r="B42" s="193">
        <v>397</v>
      </c>
      <c r="C42" s="343" t="s">
        <v>1893</v>
      </c>
      <c r="D42" s="196">
        <v>2</v>
      </c>
      <c r="E42" s="197" t="s">
        <v>1915</v>
      </c>
      <c r="F42" s="197" t="s">
        <v>1915</v>
      </c>
      <c r="G42" s="197" t="s">
        <v>1915</v>
      </c>
      <c r="H42" s="197" t="s">
        <v>1962</v>
      </c>
      <c r="I42" s="198" t="s">
        <v>1673</v>
      </c>
      <c r="J42" s="198" t="s">
        <v>1403</v>
      </c>
      <c r="K42" s="198" t="s">
        <v>1753</v>
      </c>
      <c r="L42" s="199">
        <v>0.2</v>
      </c>
      <c r="M42" s="199">
        <v>0</v>
      </c>
      <c r="N42" s="199">
        <v>0.2</v>
      </c>
      <c r="O42" s="199">
        <v>0.2</v>
      </c>
      <c r="P42" s="199">
        <v>0</v>
      </c>
      <c r="Q42" s="200">
        <v>0</v>
      </c>
      <c r="R42" s="201" t="s">
        <v>901</v>
      </c>
      <c r="S42" s="202" t="s">
        <v>2063</v>
      </c>
      <c r="T42" s="203"/>
      <c r="U42" s="204"/>
      <c r="V42" s="205"/>
      <c r="W42" s="205"/>
      <c r="X42" s="205"/>
      <c r="Y42" s="205"/>
      <c r="Z42" s="202" t="s">
        <v>2063</v>
      </c>
      <c r="AA42" s="211"/>
      <c r="AB42" s="206"/>
      <c r="AC42" s="204"/>
      <c r="AD42" s="205"/>
      <c r="AE42" s="205"/>
      <c r="AF42" s="205"/>
      <c r="AG42" s="205"/>
      <c r="AH42" s="205"/>
      <c r="AI42" s="205"/>
      <c r="AJ42" s="207" t="s">
        <v>163</v>
      </c>
      <c r="AK42" s="204" t="s">
        <v>163</v>
      </c>
      <c r="AL42" s="208" t="s">
        <v>574</v>
      </c>
      <c r="AM42" s="221">
        <v>2</v>
      </c>
      <c r="AN42" s="202" t="s">
        <v>1934</v>
      </c>
      <c r="AO42" s="203">
        <v>2</v>
      </c>
      <c r="AP42" s="210" t="s">
        <v>23</v>
      </c>
      <c r="AQ42" s="204" t="s">
        <v>163</v>
      </c>
      <c r="AR42" s="211"/>
      <c r="AS42" s="211" t="s">
        <v>1807</v>
      </c>
      <c r="AT42" s="212">
        <v>2</v>
      </c>
      <c r="AU42" s="213" t="s">
        <v>158</v>
      </c>
      <c r="AV42" s="195" t="s">
        <v>163</v>
      </c>
      <c r="AW42" s="195" t="s">
        <v>163</v>
      </c>
      <c r="AX42" s="195" t="s">
        <v>163</v>
      </c>
      <c r="AY42" s="195" t="s">
        <v>163</v>
      </c>
      <c r="AZ42" s="195" t="s">
        <v>163</v>
      </c>
      <c r="BA42" s="214">
        <v>2</v>
      </c>
      <c r="BB42" s="215" t="s">
        <v>163</v>
      </c>
      <c r="BC42" s="216" t="s">
        <v>163</v>
      </c>
      <c r="BD42" s="208" t="s">
        <v>163</v>
      </c>
      <c r="BE42" s="217" t="s">
        <v>163</v>
      </c>
      <c r="BF42" s="218" t="s">
        <v>163</v>
      </c>
      <c r="BG42" s="219">
        <v>2024.0218</v>
      </c>
      <c r="BH42" s="220" t="s">
        <v>23</v>
      </c>
      <c r="BI42" s="220">
        <v>2</v>
      </c>
      <c r="BJ42" s="220" t="s">
        <v>320</v>
      </c>
      <c r="BK42" s="209">
        <v>2</v>
      </c>
      <c r="BL42" s="221" t="s">
        <v>321</v>
      </c>
      <c r="BM42" s="163" t="s">
        <v>1911</v>
      </c>
      <c r="BN42" s="163" t="s">
        <v>1912</v>
      </c>
      <c r="BO42" s="163" t="s">
        <v>1913</v>
      </c>
      <c r="BP42" s="163"/>
      <c r="BQ42" s="163" t="s">
        <v>1651</v>
      </c>
      <c r="BR42" s="163" t="s">
        <v>354</v>
      </c>
      <c r="BS42" s="163" t="s">
        <v>1927</v>
      </c>
      <c r="BT42" s="163" t="s">
        <v>1922</v>
      </c>
      <c r="BU42" s="163" t="s">
        <v>1923</v>
      </c>
      <c r="BV42" s="163" t="s">
        <v>1924</v>
      </c>
      <c r="BW42" s="163" t="s">
        <v>1925</v>
      </c>
      <c r="BX42" s="163" t="s">
        <v>1926</v>
      </c>
      <c r="BY42" s="163"/>
      <c r="BZ42" s="163"/>
      <c r="CA42" s="163"/>
      <c r="CB42" s="163"/>
      <c r="CC42" s="163"/>
      <c r="CD42" s="681"/>
      <c r="CE42" s="11" t="s">
        <v>2091</v>
      </c>
      <c r="CH42" s="11">
        <f t="shared" si="1"/>
        <v>6</v>
      </c>
    </row>
    <row r="43" spans="1:86" s="487" customFormat="1" x14ac:dyDescent="0.25">
      <c r="A43" s="488" t="s">
        <v>68</v>
      </c>
      <c r="B43" s="489">
        <v>398</v>
      </c>
      <c r="C43" s="597" t="s">
        <v>339</v>
      </c>
      <c r="D43" s="492">
        <v>1.5</v>
      </c>
      <c r="E43" s="493" t="s">
        <v>1915</v>
      </c>
      <c r="F43" s="493" t="s">
        <v>1915</v>
      </c>
      <c r="G43" s="493" t="s">
        <v>1915</v>
      </c>
      <c r="H43" s="493" t="s">
        <v>1963</v>
      </c>
      <c r="I43" s="494" t="s">
        <v>1674</v>
      </c>
      <c r="J43" s="494" t="s">
        <v>1100</v>
      </c>
      <c r="K43" s="494" t="s">
        <v>630</v>
      </c>
      <c r="L43" s="495">
        <v>0.15</v>
      </c>
      <c r="M43" s="495">
        <v>0</v>
      </c>
      <c r="N43" s="495">
        <v>0.15</v>
      </c>
      <c r="O43" s="495">
        <v>0.15</v>
      </c>
      <c r="P43" s="495">
        <v>0</v>
      </c>
      <c r="Q43" s="496">
        <v>0</v>
      </c>
      <c r="R43" s="497" t="s">
        <v>901</v>
      </c>
      <c r="S43" s="498" t="s">
        <v>1383</v>
      </c>
      <c r="T43" s="499">
        <v>1.5</v>
      </c>
      <c r="U43" s="500"/>
      <c r="V43" s="501"/>
      <c r="W43" s="501"/>
      <c r="X43" s="501"/>
      <c r="Y43" s="501"/>
      <c r="Z43" s="519" t="s">
        <v>910</v>
      </c>
      <c r="AA43" s="498" t="s">
        <v>203</v>
      </c>
      <c r="AB43" s="502" t="s">
        <v>186</v>
      </c>
      <c r="AC43" s="500">
        <v>1.5</v>
      </c>
      <c r="AD43" s="501"/>
      <c r="AE43" s="501"/>
      <c r="AF43" s="501"/>
      <c r="AG43" s="501"/>
      <c r="AH43" s="501"/>
      <c r="AI43" s="501"/>
      <c r="AJ43" s="503" t="s">
        <v>163</v>
      </c>
      <c r="AK43" s="500" t="s">
        <v>163</v>
      </c>
      <c r="AL43" s="504" t="s">
        <v>573</v>
      </c>
      <c r="AM43" s="505">
        <v>1.5</v>
      </c>
      <c r="AN43" s="498" t="s">
        <v>1243</v>
      </c>
      <c r="AO43" s="499">
        <v>1.5</v>
      </c>
      <c r="AP43" s="506" t="s">
        <v>23</v>
      </c>
      <c r="AQ43" s="500" t="s">
        <v>163</v>
      </c>
      <c r="AR43" s="507" t="s">
        <v>341</v>
      </c>
      <c r="AS43" s="507" t="s">
        <v>1808</v>
      </c>
      <c r="AT43" s="508">
        <f t="shared" ref="AT43:AT51" si="4">L43*10</f>
        <v>1.5</v>
      </c>
      <c r="AU43" s="509" t="s">
        <v>158</v>
      </c>
      <c r="AV43" s="491" t="s">
        <v>1285</v>
      </c>
      <c r="AW43" s="491">
        <v>1.5</v>
      </c>
      <c r="AX43" s="491">
        <v>0</v>
      </c>
      <c r="AY43" s="491">
        <v>0</v>
      </c>
      <c r="AZ43" s="491">
        <v>0</v>
      </c>
      <c r="BA43" s="510">
        <v>1.5</v>
      </c>
      <c r="BB43" s="511">
        <v>0.1</v>
      </c>
      <c r="BC43" s="512" t="s">
        <v>1009</v>
      </c>
      <c r="BD43" s="504" t="s">
        <v>163</v>
      </c>
      <c r="BE43" s="513" t="s">
        <v>163</v>
      </c>
      <c r="BF43" s="514" t="s">
        <v>163</v>
      </c>
      <c r="BG43" s="515">
        <v>2024.0169000000001</v>
      </c>
      <c r="BH43" s="516" t="s">
        <v>23</v>
      </c>
      <c r="BI43" s="516">
        <v>1.5</v>
      </c>
      <c r="BJ43" s="516" t="s">
        <v>320</v>
      </c>
      <c r="BK43" s="505">
        <v>1.5</v>
      </c>
      <c r="BL43" s="517" t="s">
        <v>321</v>
      </c>
      <c r="BM43" s="599" t="s">
        <v>353</v>
      </c>
      <c r="BN43" s="599" t="s">
        <v>1625</v>
      </c>
      <c r="BO43" s="599" t="s">
        <v>1626</v>
      </c>
      <c r="BP43" s="599" t="s">
        <v>1555</v>
      </c>
      <c r="BQ43" s="599" t="s">
        <v>1651</v>
      </c>
      <c r="BR43" s="599" t="s">
        <v>354</v>
      </c>
      <c r="BS43" s="486" t="s">
        <v>724</v>
      </c>
      <c r="BT43" s="486" t="s">
        <v>725</v>
      </c>
      <c r="BU43" s="486" t="s">
        <v>726</v>
      </c>
      <c r="BV43" s="486" t="s">
        <v>727</v>
      </c>
      <c r="BW43" s="486"/>
      <c r="BX43" s="486"/>
      <c r="BY43" s="486"/>
      <c r="BZ43" s="486"/>
      <c r="CA43" s="486"/>
      <c r="CB43" s="486"/>
      <c r="CC43" s="486"/>
      <c r="CD43" s="682"/>
      <c r="CE43" s="487" t="s">
        <v>2091</v>
      </c>
      <c r="CH43" s="487">
        <f t="shared" si="1"/>
        <v>4</v>
      </c>
    </row>
    <row r="44" spans="1:86" x14ac:dyDescent="0.25">
      <c r="A44" s="192" t="s">
        <v>69</v>
      </c>
      <c r="B44" s="193">
        <v>399</v>
      </c>
      <c r="C44" s="343" t="s">
        <v>41</v>
      </c>
      <c r="D44" s="196">
        <v>2</v>
      </c>
      <c r="E44" s="197" t="s">
        <v>1918</v>
      </c>
      <c r="F44" s="197"/>
      <c r="G44" s="197"/>
      <c r="H44" s="197" t="s">
        <v>2051</v>
      </c>
      <c r="I44" s="198" t="s">
        <v>1773</v>
      </c>
      <c r="J44" s="198" t="s">
        <v>1097</v>
      </c>
      <c r="K44" s="198" t="s">
        <v>661</v>
      </c>
      <c r="L44" s="199">
        <v>0.2</v>
      </c>
      <c r="M44" s="199">
        <v>0</v>
      </c>
      <c r="N44" s="199">
        <v>0.2</v>
      </c>
      <c r="O44" s="199">
        <v>0.2</v>
      </c>
      <c r="P44" s="199">
        <v>0</v>
      </c>
      <c r="Q44" s="200">
        <v>0</v>
      </c>
      <c r="R44" s="201" t="s">
        <v>901</v>
      </c>
      <c r="S44" s="202" t="s">
        <v>1384</v>
      </c>
      <c r="T44" s="203">
        <v>1.5</v>
      </c>
      <c r="U44" s="204"/>
      <c r="V44" s="205"/>
      <c r="W44" s="205"/>
      <c r="X44" s="205"/>
      <c r="Y44" s="205"/>
      <c r="Z44" s="202" t="s">
        <v>202</v>
      </c>
      <c r="AA44" s="206" t="s">
        <v>203</v>
      </c>
      <c r="AB44" s="206" t="s">
        <v>186</v>
      </c>
      <c r="AC44" s="204">
        <v>1</v>
      </c>
      <c r="AD44" s="205"/>
      <c r="AE44" s="205"/>
      <c r="AF44" s="205"/>
      <c r="AG44" s="205"/>
      <c r="AH44" s="205"/>
      <c r="AI44" s="205"/>
      <c r="AJ44" s="207" t="s">
        <v>163</v>
      </c>
      <c r="AK44" s="204" t="s">
        <v>163</v>
      </c>
      <c r="AL44" s="208" t="s">
        <v>573</v>
      </c>
      <c r="AM44" s="209">
        <v>1.5</v>
      </c>
      <c r="AN44" s="202" t="s">
        <v>1244</v>
      </c>
      <c r="AO44" s="203">
        <v>1.5</v>
      </c>
      <c r="AP44" s="210" t="s">
        <v>23</v>
      </c>
      <c r="AQ44" s="204" t="s">
        <v>163</v>
      </c>
      <c r="AR44" s="211" t="s">
        <v>126</v>
      </c>
      <c r="AS44" s="211" t="s">
        <v>1809</v>
      </c>
      <c r="AT44" s="212">
        <f t="shared" si="4"/>
        <v>2</v>
      </c>
      <c r="AU44" s="213" t="s">
        <v>158</v>
      </c>
      <c r="AV44" s="195" t="s">
        <v>1286</v>
      </c>
      <c r="AW44" s="195">
        <v>1.5</v>
      </c>
      <c r="AX44" s="195">
        <v>0</v>
      </c>
      <c r="AY44" s="195">
        <v>0</v>
      </c>
      <c r="AZ44" s="195">
        <v>0</v>
      </c>
      <c r="BA44" s="214">
        <v>1.5</v>
      </c>
      <c r="BB44" s="215">
        <v>0.1</v>
      </c>
      <c r="BC44" s="216" t="s">
        <v>1030</v>
      </c>
      <c r="BD44" s="208" t="s">
        <v>982</v>
      </c>
      <c r="BE44" s="217">
        <v>0</v>
      </c>
      <c r="BF44" s="218">
        <v>1.5</v>
      </c>
      <c r="BG44" s="219">
        <v>2024.0183999999999</v>
      </c>
      <c r="BH44" s="220" t="s">
        <v>23</v>
      </c>
      <c r="BI44" s="220">
        <v>1.5</v>
      </c>
      <c r="BJ44" s="220" t="s">
        <v>320</v>
      </c>
      <c r="BK44" s="209">
        <v>1.5</v>
      </c>
      <c r="BL44" s="221" t="s">
        <v>321</v>
      </c>
      <c r="BM44" s="163" t="s">
        <v>959</v>
      </c>
      <c r="BN44" s="163" t="s">
        <v>1623</v>
      </c>
      <c r="BO44" s="163" t="s">
        <v>1624</v>
      </c>
      <c r="BP44" s="163" t="s">
        <v>960</v>
      </c>
      <c r="BQ44" s="163" t="s">
        <v>1651</v>
      </c>
      <c r="BR44" s="163" t="s">
        <v>354</v>
      </c>
      <c r="BS44" s="163" t="s">
        <v>728</v>
      </c>
      <c r="BT44" s="163" t="s">
        <v>729</v>
      </c>
      <c r="BU44" s="163" t="s">
        <v>730</v>
      </c>
      <c r="BV44" s="163" t="s">
        <v>731</v>
      </c>
      <c r="BW44" s="163" t="s">
        <v>732</v>
      </c>
      <c r="BX44" s="163" t="s">
        <v>733</v>
      </c>
      <c r="BY44" s="163"/>
      <c r="BZ44" s="163"/>
      <c r="CA44" s="163"/>
      <c r="CB44" s="163"/>
      <c r="CC44" s="163"/>
      <c r="CD44" s="681"/>
      <c r="CE44" s="11" t="s">
        <v>2094</v>
      </c>
      <c r="CH44" s="11">
        <f t="shared" si="1"/>
        <v>6</v>
      </c>
    </row>
    <row r="45" spans="1:86" s="487" customFormat="1" x14ac:dyDescent="0.25">
      <c r="A45" s="488" t="s">
        <v>70</v>
      </c>
      <c r="B45" s="489">
        <v>400</v>
      </c>
      <c r="C45" s="597" t="s">
        <v>152</v>
      </c>
      <c r="D45" s="492">
        <v>2.5</v>
      </c>
      <c r="E45" s="493" t="s">
        <v>1919</v>
      </c>
      <c r="F45" s="493"/>
      <c r="G45" s="493"/>
      <c r="H45" s="493" t="s">
        <v>1964</v>
      </c>
      <c r="I45" s="494" t="s">
        <v>1675</v>
      </c>
      <c r="J45" s="494" t="s">
        <v>1079</v>
      </c>
      <c r="K45" s="494" t="s">
        <v>660</v>
      </c>
      <c r="L45" s="495">
        <v>0.25</v>
      </c>
      <c r="M45" s="495">
        <v>0</v>
      </c>
      <c r="N45" s="495">
        <v>0.25</v>
      </c>
      <c r="O45" s="495">
        <v>0.25</v>
      </c>
      <c r="P45" s="495">
        <v>0</v>
      </c>
      <c r="Q45" s="496">
        <v>0</v>
      </c>
      <c r="R45" s="497" t="s">
        <v>901</v>
      </c>
      <c r="S45" s="498" t="s">
        <v>1385</v>
      </c>
      <c r="T45" s="499">
        <v>2.5</v>
      </c>
      <c r="U45" s="500"/>
      <c r="V45" s="501"/>
      <c r="W45" s="501"/>
      <c r="X45" s="501"/>
      <c r="Y45" s="501"/>
      <c r="Z45" s="498" t="s">
        <v>204</v>
      </c>
      <c r="AA45" s="502" t="s">
        <v>205</v>
      </c>
      <c r="AB45" s="502" t="s">
        <v>186</v>
      </c>
      <c r="AC45" s="500">
        <v>2</v>
      </c>
      <c r="AD45" s="501"/>
      <c r="AE45" s="501"/>
      <c r="AF45" s="501"/>
      <c r="AG45" s="501"/>
      <c r="AH45" s="501"/>
      <c r="AI45" s="501"/>
      <c r="AJ45" s="503" t="s">
        <v>163</v>
      </c>
      <c r="AK45" s="500" t="s">
        <v>163</v>
      </c>
      <c r="AL45" s="504" t="s">
        <v>575</v>
      </c>
      <c r="AM45" s="505">
        <v>2.5</v>
      </c>
      <c r="AN45" s="520" t="s">
        <v>1329</v>
      </c>
      <c r="AO45" s="600">
        <v>2.5</v>
      </c>
      <c r="AP45" s="506" t="s">
        <v>23</v>
      </c>
      <c r="AQ45" s="500" t="s">
        <v>163</v>
      </c>
      <c r="AR45" s="507" t="s">
        <v>136</v>
      </c>
      <c r="AS45" s="507" t="s">
        <v>1810</v>
      </c>
      <c r="AT45" s="508">
        <f t="shared" si="4"/>
        <v>2.5</v>
      </c>
      <c r="AU45" s="509" t="s">
        <v>158</v>
      </c>
      <c r="AV45" s="491" t="s">
        <v>1287</v>
      </c>
      <c r="AW45" s="491">
        <v>2.5</v>
      </c>
      <c r="AX45" s="491">
        <v>0</v>
      </c>
      <c r="AY45" s="491">
        <v>0</v>
      </c>
      <c r="AZ45" s="491">
        <v>0</v>
      </c>
      <c r="BA45" s="510">
        <v>2.5</v>
      </c>
      <c r="BB45" s="511">
        <v>0.2</v>
      </c>
      <c r="BC45" s="512" t="s">
        <v>1031</v>
      </c>
      <c r="BD45" s="504" t="s">
        <v>979</v>
      </c>
      <c r="BE45" s="513">
        <v>0</v>
      </c>
      <c r="BF45" s="514">
        <v>2</v>
      </c>
      <c r="BG45" s="515">
        <v>2024.0206000000001</v>
      </c>
      <c r="BH45" s="516" t="s">
        <v>23</v>
      </c>
      <c r="BI45" s="516">
        <v>2.5</v>
      </c>
      <c r="BJ45" s="516" t="s">
        <v>320</v>
      </c>
      <c r="BK45" s="505">
        <v>2.5</v>
      </c>
      <c r="BL45" s="517" t="s">
        <v>321</v>
      </c>
      <c r="BM45" s="486" t="s">
        <v>27</v>
      </c>
      <c r="BN45" s="486" t="s">
        <v>1621</v>
      </c>
      <c r="BO45" s="486" t="s">
        <v>1622</v>
      </c>
      <c r="BP45" s="486" t="s">
        <v>961</v>
      </c>
      <c r="BQ45" s="486" t="s">
        <v>1651</v>
      </c>
      <c r="BR45" s="486" t="s">
        <v>354</v>
      </c>
      <c r="BS45" s="486" t="s">
        <v>734</v>
      </c>
      <c r="BT45" s="486" t="s">
        <v>735</v>
      </c>
      <c r="BU45" s="486" t="s">
        <v>736</v>
      </c>
      <c r="BV45" s="486" t="s">
        <v>737</v>
      </c>
      <c r="BW45" s="486" t="s">
        <v>738</v>
      </c>
      <c r="BX45" s="486" t="s">
        <v>739</v>
      </c>
      <c r="BY45" s="486" t="s">
        <v>740</v>
      </c>
      <c r="BZ45" s="486" t="s">
        <v>741</v>
      </c>
      <c r="CA45" s="486"/>
      <c r="CB45" s="486"/>
      <c r="CC45" s="486"/>
      <c r="CD45" s="682"/>
      <c r="CE45" s="487" t="s">
        <v>2091</v>
      </c>
      <c r="CH45" s="487">
        <f t="shared" si="1"/>
        <v>8</v>
      </c>
    </row>
    <row r="46" spans="1:86" x14ac:dyDescent="0.25">
      <c r="A46" s="192" t="s">
        <v>1749</v>
      </c>
      <c r="B46" s="193">
        <v>401</v>
      </c>
      <c r="C46" s="343" t="s">
        <v>1750</v>
      </c>
      <c r="D46" s="196">
        <v>2</v>
      </c>
      <c r="E46" s="197" t="s">
        <v>1915</v>
      </c>
      <c r="F46" s="197" t="s">
        <v>1915</v>
      </c>
      <c r="G46" s="197" t="s">
        <v>1915</v>
      </c>
      <c r="H46" s="197" t="s">
        <v>1965</v>
      </c>
      <c r="I46" s="198" t="s">
        <v>1755</v>
      </c>
      <c r="J46" s="198"/>
      <c r="K46" s="198"/>
      <c r="L46" s="199">
        <v>0.2</v>
      </c>
      <c r="M46" s="199">
        <v>0</v>
      </c>
      <c r="N46" s="199">
        <v>0.2</v>
      </c>
      <c r="O46" s="199">
        <v>0.2</v>
      </c>
      <c r="P46" s="199">
        <v>0</v>
      </c>
      <c r="Q46" s="200">
        <v>0</v>
      </c>
      <c r="R46" s="201" t="s">
        <v>901</v>
      </c>
      <c r="S46" s="202" t="s">
        <v>2063</v>
      </c>
      <c r="T46" s="203"/>
      <c r="U46" s="204"/>
      <c r="V46" s="205"/>
      <c r="W46" s="205"/>
      <c r="X46" s="205"/>
      <c r="Y46" s="205"/>
      <c r="Z46" s="202" t="s">
        <v>2063</v>
      </c>
      <c r="AA46" s="206"/>
      <c r="AB46" s="206"/>
      <c r="AC46" s="204"/>
      <c r="AD46" s="205"/>
      <c r="AE46" s="205"/>
      <c r="AF46" s="205"/>
      <c r="AG46" s="205"/>
      <c r="AH46" s="205"/>
      <c r="AI46" s="205"/>
      <c r="AJ46" s="207" t="s">
        <v>163</v>
      </c>
      <c r="AK46" s="204" t="s">
        <v>163</v>
      </c>
      <c r="AL46" s="208" t="s">
        <v>574</v>
      </c>
      <c r="AM46" s="209">
        <v>2</v>
      </c>
      <c r="AN46" s="223" t="s">
        <v>2141</v>
      </c>
      <c r="AO46" s="349">
        <v>2</v>
      </c>
      <c r="AP46" s="210" t="s">
        <v>23</v>
      </c>
      <c r="AQ46" s="204" t="s">
        <v>163</v>
      </c>
      <c r="AR46" s="211"/>
      <c r="AS46" s="211" t="s">
        <v>1811</v>
      </c>
      <c r="AT46" s="212">
        <v>2</v>
      </c>
      <c r="AU46" s="213" t="s">
        <v>158</v>
      </c>
      <c r="AV46" s="195" t="s">
        <v>163</v>
      </c>
      <c r="AW46" s="195" t="s">
        <v>163</v>
      </c>
      <c r="AX46" s="195" t="s">
        <v>163</v>
      </c>
      <c r="AY46" s="195" t="s">
        <v>163</v>
      </c>
      <c r="AZ46" s="195" t="s">
        <v>163</v>
      </c>
      <c r="BA46" s="214"/>
      <c r="BB46" s="215" t="s">
        <v>163</v>
      </c>
      <c r="BC46" s="216" t="s">
        <v>163</v>
      </c>
      <c r="BD46" s="208" t="s">
        <v>163</v>
      </c>
      <c r="BE46" s="217" t="s">
        <v>163</v>
      </c>
      <c r="BF46" s="218" t="s">
        <v>163</v>
      </c>
      <c r="BG46" s="219">
        <v>2024.0231000000001</v>
      </c>
      <c r="BH46" s="220" t="s">
        <v>23</v>
      </c>
      <c r="BI46" s="220">
        <v>2</v>
      </c>
      <c r="BJ46" s="220" t="s">
        <v>320</v>
      </c>
      <c r="BK46" s="209">
        <v>2</v>
      </c>
      <c r="BL46" s="221" t="s">
        <v>321</v>
      </c>
      <c r="BM46" s="163" t="s">
        <v>1751</v>
      </c>
      <c r="BN46" s="163"/>
      <c r="BO46" s="163" t="s">
        <v>2067</v>
      </c>
      <c r="BP46" s="163"/>
      <c r="BQ46" s="163" t="s">
        <v>1651</v>
      </c>
      <c r="BR46" s="163" t="s">
        <v>354</v>
      </c>
      <c r="BS46" s="163" t="s">
        <v>741</v>
      </c>
      <c r="BT46" s="163" t="s">
        <v>1752</v>
      </c>
      <c r="BU46" s="163" t="s">
        <v>738</v>
      </c>
      <c r="BV46" s="163" t="s">
        <v>740</v>
      </c>
      <c r="BW46" s="163" t="s">
        <v>734</v>
      </c>
      <c r="BY46" s="163"/>
      <c r="BZ46" s="163"/>
      <c r="CA46" s="163"/>
      <c r="CB46" s="163"/>
      <c r="CC46" s="163"/>
      <c r="CD46" s="681"/>
      <c r="CE46" s="11" t="s">
        <v>2091</v>
      </c>
      <c r="CH46" s="11">
        <f t="shared" si="1"/>
        <v>5</v>
      </c>
    </row>
    <row r="47" spans="1:86" s="487" customFormat="1" x14ac:dyDescent="0.25">
      <c r="A47" s="488" t="s">
        <v>1743</v>
      </c>
      <c r="B47" s="489">
        <v>402</v>
      </c>
      <c r="C47" s="597" t="s">
        <v>1742</v>
      </c>
      <c r="D47" s="492">
        <v>1</v>
      </c>
      <c r="E47" s="493" t="s">
        <v>1915</v>
      </c>
      <c r="F47" s="493"/>
      <c r="G47" s="493"/>
      <c r="H47" s="493" t="s">
        <v>1996</v>
      </c>
      <c r="I47" s="494" t="s">
        <v>1756</v>
      </c>
      <c r="J47" s="494"/>
      <c r="K47" s="494"/>
      <c r="L47" s="495">
        <v>0.1</v>
      </c>
      <c r="M47" s="495">
        <v>0</v>
      </c>
      <c r="N47" s="495">
        <v>0.1</v>
      </c>
      <c r="O47" s="495">
        <v>0.1</v>
      </c>
      <c r="P47" s="495">
        <v>0</v>
      </c>
      <c r="Q47" s="496">
        <v>0</v>
      </c>
      <c r="R47" s="497" t="s">
        <v>901</v>
      </c>
      <c r="S47" s="498" t="s">
        <v>2063</v>
      </c>
      <c r="T47" s="499"/>
      <c r="U47" s="500"/>
      <c r="V47" s="501"/>
      <c r="W47" s="501"/>
      <c r="X47" s="501"/>
      <c r="Y47" s="501"/>
      <c r="Z47" s="498" t="s">
        <v>2063</v>
      </c>
      <c r="AA47" s="502"/>
      <c r="AB47" s="502"/>
      <c r="AC47" s="500"/>
      <c r="AD47" s="501"/>
      <c r="AE47" s="501"/>
      <c r="AF47" s="501"/>
      <c r="AG47" s="501"/>
      <c r="AH47" s="501"/>
      <c r="AI47" s="501"/>
      <c r="AJ47" s="503" t="s">
        <v>163</v>
      </c>
      <c r="AK47" s="500" t="s">
        <v>163</v>
      </c>
      <c r="AL47" s="504" t="s">
        <v>571</v>
      </c>
      <c r="AM47" s="505">
        <v>1</v>
      </c>
      <c r="AN47" s="520" t="s">
        <v>2142</v>
      </c>
      <c r="AO47" s="600">
        <v>1</v>
      </c>
      <c r="AP47" s="506" t="s">
        <v>23</v>
      </c>
      <c r="AQ47" s="500" t="s">
        <v>163</v>
      </c>
      <c r="AR47" s="507"/>
      <c r="AS47" s="507" t="s">
        <v>1812</v>
      </c>
      <c r="AT47" s="508">
        <v>1</v>
      </c>
      <c r="AU47" s="509" t="s">
        <v>158</v>
      </c>
      <c r="AV47" s="491" t="s">
        <v>163</v>
      </c>
      <c r="AW47" s="491" t="s">
        <v>163</v>
      </c>
      <c r="AX47" s="491" t="s">
        <v>163</v>
      </c>
      <c r="AY47" s="491" t="s">
        <v>163</v>
      </c>
      <c r="AZ47" s="491" t="s">
        <v>163</v>
      </c>
      <c r="BA47" s="510"/>
      <c r="BB47" s="511" t="s">
        <v>163</v>
      </c>
      <c r="BC47" s="512" t="s">
        <v>163</v>
      </c>
      <c r="BD47" s="504" t="s">
        <v>163</v>
      </c>
      <c r="BE47" s="513" t="s">
        <v>163</v>
      </c>
      <c r="BF47" s="514" t="s">
        <v>163</v>
      </c>
      <c r="BG47" s="515">
        <v>2024.0222000000001</v>
      </c>
      <c r="BH47" s="516" t="s">
        <v>23</v>
      </c>
      <c r="BI47" s="516">
        <v>1</v>
      </c>
      <c r="BJ47" s="516" t="s">
        <v>320</v>
      </c>
      <c r="BK47" s="505">
        <v>1</v>
      </c>
      <c r="BL47" s="517" t="s">
        <v>321</v>
      </c>
      <c r="BM47" s="486" t="s">
        <v>1744</v>
      </c>
      <c r="BN47" s="486" t="s">
        <v>22</v>
      </c>
      <c r="BO47" s="486" t="s">
        <v>1868</v>
      </c>
      <c r="BP47" s="486"/>
      <c r="BQ47" s="486"/>
      <c r="BR47" s="486" t="s">
        <v>354</v>
      </c>
      <c r="BS47" s="486" t="s">
        <v>1745</v>
      </c>
      <c r="BT47" s="486" t="s">
        <v>1746</v>
      </c>
      <c r="BU47" s="486" t="s">
        <v>1747</v>
      </c>
      <c r="BV47" s="486" t="s">
        <v>1748</v>
      </c>
      <c r="BW47" s="486"/>
      <c r="BX47" s="486"/>
      <c r="BY47" s="486"/>
      <c r="BZ47" s="486"/>
      <c r="CA47" s="486"/>
      <c r="CB47" s="486"/>
      <c r="CC47" s="486"/>
      <c r="CD47" s="682"/>
      <c r="CE47" s="487" t="s">
        <v>2091</v>
      </c>
      <c r="CH47" s="487">
        <f t="shared" si="1"/>
        <v>4</v>
      </c>
    </row>
    <row r="48" spans="1:86" x14ac:dyDescent="0.25">
      <c r="A48" s="192" t="s">
        <v>71</v>
      </c>
      <c r="B48" s="193">
        <v>403</v>
      </c>
      <c r="C48" s="343" t="s">
        <v>153</v>
      </c>
      <c r="D48" s="196">
        <v>2</v>
      </c>
      <c r="E48" s="197" t="s">
        <v>1919</v>
      </c>
      <c r="F48" s="197"/>
      <c r="G48" s="197"/>
      <c r="H48" s="197" t="s">
        <v>1966</v>
      </c>
      <c r="I48" s="198" t="s">
        <v>1865</v>
      </c>
      <c r="J48" s="198" t="s">
        <v>1171</v>
      </c>
      <c r="K48" s="198" t="s">
        <v>659</v>
      </c>
      <c r="L48" s="199">
        <v>0.2</v>
      </c>
      <c r="M48" s="199">
        <v>0</v>
      </c>
      <c r="N48" s="199">
        <v>0.2</v>
      </c>
      <c r="O48" s="199">
        <v>0.2</v>
      </c>
      <c r="P48" s="199">
        <v>0</v>
      </c>
      <c r="Q48" s="200">
        <v>0</v>
      </c>
      <c r="R48" s="201" t="s">
        <v>901</v>
      </c>
      <c r="S48" s="202" t="s">
        <v>1351</v>
      </c>
      <c r="T48" s="203">
        <v>2</v>
      </c>
      <c r="U48" s="204"/>
      <c r="V48" s="205"/>
      <c r="W48" s="205"/>
      <c r="X48" s="205"/>
      <c r="Y48" s="205"/>
      <c r="Z48" s="202" t="s">
        <v>206</v>
      </c>
      <c r="AA48" s="206" t="s">
        <v>205</v>
      </c>
      <c r="AB48" s="206" t="s">
        <v>186</v>
      </c>
      <c r="AC48" s="204">
        <v>1</v>
      </c>
      <c r="AD48" s="205"/>
      <c r="AE48" s="205"/>
      <c r="AF48" s="205"/>
      <c r="AG48" s="205"/>
      <c r="AH48" s="205"/>
      <c r="AI48" s="205"/>
      <c r="AJ48" s="207" t="s">
        <v>163</v>
      </c>
      <c r="AK48" s="204" t="s">
        <v>163</v>
      </c>
      <c r="AL48" s="208" t="s">
        <v>574</v>
      </c>
      <c r="AM48" s="209">
        <v>2</v>
      </c>
      <c r="AN48" s="202" t="s">
        <v>1245</v>
      </c>
      <c r="AO48" s="203">
        <v>2</v>
      </c>
      <c r="AP48" s="210" t="s">
        <v>23</v>
      </c>
      <c r="AQ48" s="204" t="s">
        <v>163</v>
      </c>
      <c r="AR48" s="211" t="s">
        <v>135</v>
      </c>
      <c r="AS48" s="211" t="s">
        <v>1813</v>
      </c>
      <c r="AT48" s="212">
        <f t="shared" si="4"/>
        <v>2</v>
      </c>
      <c r="AU48" s="213" t="s">
        <v>158</v>
      </c>
      <c r="AV48" s="195" t="s">
        <v>1288</v>
      </c>
      <c r="AW48" s="195">
        <v>2</v>
      </c>
      <c r="AX48" s="195">
        <v>0</v>
      </c>
      <c r="AY48" s="195">
        <v>0</v>
      </c>
      <c r="AZ48" s="195">
        <v>0</v>
      </c>
      <c r="BA48" s="214">
        <v>2</v>
      </c>
      <c r="BB48" s="215">
        <v>0.2</v>
      </c>
      <c r="BC48" s="216" t="s">
        <v>1032</v>
      </c>
      <c r="BD48" s="208" t="s">
        <v>966</v>
      </c>
      <c r="BE48" s="217">
        <v>0</v>
      </c>
      <c r="BF48" s="218">
        <v>1.5</v>
      </c>
      <c r="BG48" s="219">
        <v>2024.0205000000001</v>
      </c>
      <c r="BH48" s="220" t="s">
        <v>23</v>
      </c>
      <c r="BI48" s="220">
        <v>2</v>
      </c>
      <c r="BJ48" s="220" t="s">
        <v>320</v>
      </c>
      <c r="BK48" s="209">
        <v>2</v>
      </c>
      <c r="BL48" s="221" t="s">
        <v>321</v>
      </c>
      <c r="BM48" s="163" t="s">
        <v>962</v>
      </c>
      <c r="BN48" s="163" t="s">
        <v>1620</v>
      </c>
      <c r="BO48" s="163"/>
      <c r="BP48" s="163" t="s">
        <v>946</v>
      </c>
      <c r="BQ48" s="163" t="s">
        <v>1651</v>
      </c>
      <c r="BR48" s="163" t="s">
        <v>354</v>
      </c>
      <c r="BS48" s="163" t="s">
        <v>734</v>
      </c>
      <c r="BT48" s="163" t="s">
        <v>733</v>
      </c>
      <c r="BU48" s="163" t="s">
        <v>730</v>
      </c>
      <c r="BV48" s="163" t="s">
        <v>731</v>
      </c>
      <c r="BW48" s="163" t="s">
        <v>740</v>
      </c>
      <c r="BX48" s="163" t="s">
        <v>729</v>
      </c>
      <c r="BY48" s="163" t="s">
        <v>742</v>
      </c>
      <c r="BZ48" s="163" t="s">
        <v>732</v>
      </c>
      <c r="CA48" s="163" t="s">
        <v>741</v>
      </c>
      <c r="CB48" s="163"/>
      <c r="CC48" s="163"/>
      <c r="CD48" s="681"/>
      <c r="CE48" s="11" t="s">
        <v>2091</v>
      </c>
      <c r="CH48" s="11">
        <f t="shared" si="1"/>
        <v>9</v>
      </c>
    </row>
    <row r="49" spans="1:86" s="487" customFormat="1" x14ac:dyDescent="0.25">
      <c r="A49" s="488" t="s">
        <v>72</v>
      </c>
      <c r="B49" s="489">
        <v>404</v>
      </c>
      <c r="C49" s="597" t="s">
        <v>4</v>
      </c>
      <c r="D49" s="492">
        <v>3</v>
      </c>
      <c r="E49" s="493" t="s">
        <v>1917</v>
      </c>
      <c r="F49" s="493"/>
      <c r="G49" s="493"/>
      <c r="H49" s="493" t="s">
        <v>1968</v>
      </c>
      <c r="I49" s="494" t="s">
        <v>1676</v>
      </c>
      <c r="J49" s="494" t="s">
        <v>1172</v>
      </c>
      <c r="K49" s="494" t="s">
        <v>706</v>
      </c>
      <c r="L49" s="495">
        <v>0.3</v>
      </c>
      <c r="M49" s="495">
        <v>0</v>
      </c>
      <c r="N49" s="495">
        <v>0.3</v>
      </c>
      <c r="O49" s="495">
        <v>0.3</v>
      </c>
      <c r="P49" s="495">
        <v>0</v>
      </c>
      <c r="Q49" s="496">
        <v>0</v>
      </c>
      <c r="R49" s="497" t="s">
        <v>901</v>
      </c>
      <c r="S49" s="498" t="s">
        <v>1352</v>
      </c>
      <c r="T49" s="499">
        <v>3</v>
      </c>
      <c r="U49" s="500"/>
      <c r="V49" s="501"/>
      <c r="W49" s="501"/>
      <c r="X49" s="501"/>
      <c r="Y49" s="501"/>
      <c r="Z49" s="498" t="s">
        <v>207</v>
      </c>
      <c r="AA49" s="502" t="s">
        <v>208</v>
      </c>
      <c r="AB49" s="502" t="s">
        <v>186</v>
      </c>
      <c r="AC49" s="500">
        <v>2</v>
      </c>
      <c r="AD49" s="501"/>
      <c r="AE49" s="501"/>
      <c r="AF49" s="501"/>
      <c r="AG49" s="501"/>
      <c r="AH49" s="501"/>
      <c r="AI49" s="501"/>
      <c r="AJ49" s="503" t="s">
        <v>163</v>
      </c>
      <c r="AK49" s="500" t="s">
        <v>163</v>
      </c>
      <c r="AL49" s="504" t="s">
        <v>576</v>
      </c>
      <c r="AM49" s="505">
        <v>3</v>
      </c>
      <c r="AN49" s="498" t="s">
        <v>1246</v>
      </c>
      <c r="AO49" s="499">
        <v>3</v>
      </c>
      <c r="AP49" s="506" t="s">
        <v>23</v>
      </c>
      <c r="AQ49" s="500" t="s">
        <v>163</v>
      </c>
      <c r="AR49" s="507" t="s">
        <v>161</v>
      </c>
      <c r="AS49" s="507" t="s">
        <v>1814</v>
      </c>
      <c r="AT49" s="508">
        <f t="shared" si="4"/>
        <v>3</v>
      </c>
      <c r="AU49" s="509" t="s">
        <v>158</v>
      </c>
      <c r="AV49" s="491" t="s">
        <v>1289</v>
      </c>
      <c r="AW49" s="491">
        <v>3</v>
      </c>
      <c r="AX49" s="491">
        <v>0</v>
      </c>
      <c r="AY49" s="491">
        <v>0</v>
      </c>
      <c r="AZ49" s="491">
        <v>0</v>
      </c>
      <c r="BA49" s="510">
        <v>3</v>
      </c>
      <c r="BB49" s="511">
        <v>0.3</v>
      </c>
      <c r="BC49" s="512" t="s">
        <v>1033</v>
      </c>
      <c r="BD49" s="504" t="s">
        <v>983</v>
      </c>
      <c r="BE49" s="513">
        <v>0</v>
      </c>
      <c r="BF49" s="514">
        <v>2.5</v>
      </c>
      <c r="BG49" s="515">
        <v>2024.0154</v>
      </c>
      <c r="BH49" s="516" t="s">
        <v>23</v>
      </c>
      <c r="BI49" s="516">
        <v>3</v>
      </c>
      <c r="BJ49" s="516" t="s">
        <v>320</v>
      </c>
      <c r="BK49" s="505">
        <v>3</v>
      </c>
      <c r="BL49" s="517" t="s">
        <v>321</v>
      </c>
      <c r="BM49" s="486" t="s">
        <v>43</v>
      </c>
      <c r="BN49" s="486" t="s">
        <v>1618</v>
      </c>
      <c r="BO49" s="486" t="s">
        <v>1619</v>
      </c>
      <c r="BP49" s="486" t="s">
        <v>947</v>
      </c>
      <c r="BQ49" s="486" t="s">
        <v>1651</v>
      </c>
      <c r="BR49" s="486" t="s">
        <v>354</v>
      </c>
      <c r="BS49" s="486" t="s">
        <v>743</v>
      </c>
      <c r="BT49" s="486" t="s">
        <v>744</v>
      </c>
      <c r="BU49" s="486" t="s">
        <v>745</v>
      </c>
      <c r="BV49" s="486" t="s">
        <v>746</v>
      </c>
      <c r="BW49" s="486" t="s">
        <v>747</v>
      </c>
      <c r="BX49" s="486" t="s">
        <v>748</v>
      </c>
      <c r="BY49" s="486" t="s">
        <v>749</v>
      </c>
      <c r="BZ49" s="486" t="s">
        <v>750</v>
      </c>
      <c r="CA49" s="486" t="s">
        <v>751</v>
      </c>
      <c r="CB49" s="486"/>
      <c r="CC49" s="486"/>
      <c r="CD49" s="682"/>
      <c r="CE49" s="487" t="s">
        <v>2094</v>
      </c>
      <c r="CH49" s="487">
        <f t="shared" si="1"/>
        <v>9</v>
      </c>
    </row>
    <row r="50" spans="1:86" x14ac:dyDescent="0.25">
      <c r="A50" s="192" t="s">
        <v>73</v>
      </c>
      <c r="B50" s="193">
        <v>405</v>
      </c>
      <c r="C50" s="343" t="s">
        <v>42</v>
      </c>
      <c r="D50" s="196">
        <v>2</v>
      </c>
      <c r="E50" s="197" t="s">
        <v>1917</v>
      </c>
      <c r="F50" s="197"/>
      <c r="G50" s="197"/>
      <c r="H50" s="197" t="s">
        <v>1969</v>
      </c>
      <c r="I50" s="198" t="s">
        <v>1690</v>
      </c>
      <c r="J50" s="198" t="s">
        <v>1173</v>
      </c>
      <c r="K50" s="198" t="s">
        <v>658</v>
      </c>
      <c r="L50" s="199">
        <v>0.2</v>
      </c>
      <c r="M50" s="199">
        <v>0</v>
      </c>
      <c r="N50" s="199">
        <v>0.2</v>
      </c>
      <c r="O50" s="199">
        <v>0.2</v>
      </c>
      <c r="P50" s="199">
        <v>0</v>
      </c>
      <c r="Q50" s="200">
        <v>0</v>
      </c>
      <c r="R50" s="201" t="s">
        <v>901</v>
      </c>
      <c r="S50" s="202" t="s">
        <v>1386</v>
      </c>
      <c r="T50" s="203">
        <v>2.5</v>
      </c>
      <c r="U50" s="204"/>
      <c r="V50" s="205"/>
      <c r="W50" s="205"/>
      <c r="X50" s="205"/>
      <c r="Y50" s="205"/>
      <c r="Z50" s="202" t="s">
        <v>177</v>
      </c>
      <c r="AA50" s="206" t="s">
        <v>178</v>
      </c>
      <c r="AB50" s="206" t="s">
        <v>186</v>
      </c>
      <c r="AC50" s="204">
        <v>2</v>
      </c>
      <c r="AD50" s="205"/>
      <c r="AE50" s="205"/>
      <c r="AF50" s="205"/>
      <c r="AG50" s="205"/>
      <c r="AH50" s="205"/>
      <c r="AI50" s="205"/>
      <c r="AJ50" s="207" t="s">
        <v>163</v>
      </c>
      <c r="AK50" s="204" t="s">
        <v>163</v>
      </c>
      <c r="AL50" s="208" t="s">
        <v>575</v>
      </c>
      <c r="AM50" s="209">
        <v>2.5</v>
      </c>
      <c r="AN50" s="223" t="s">
        <v>1247</v>
      </c>
      <c r="AO50" s="203">
        <v>2.5</v>
      </c>
      <c r="AP50" s="210" t="s">
        <v>23</v>
      </c>
      <c r="AQ50" s="204" t="s">
        <v>163</v>
      </c>
      <c r="AR50" s="211" t="s">
        <v>110</v>
      </c>
      <c r="AS50" s="211" t="s">
        <v>1815</v>
      </c>
      <c r="AT50" s="212">
        <f t="shared" si="4"/>
        <v>2</v>
      </c>
      <c r="AU50" s="213" t="s">
        <v>158</v>
      </c>
      <c r="AV50" s="195" t="s">
        <v>1290</v>
      </c>
      <c r="AW50" s="195">
        <v>2.5</v>
      </c>
      <c r="AX50" s="195">
        <v>0</v>
      </c>
      <c r="AY50" s="195">
        <v>0</v>
      </c>
      <c r="AZ50" s="195">
        <v>0</v>
      </c>
      <c r="BA50" s="214">
        <v>2</v>
      </c>
      <c r="BB50" s="215">
        <v>0.2</v>
      </c>
      <c r="BC50" s="216" t="s">
        <v>1034</v>
      </c>
      <c r="BD50" s="208" t="s">
        <v>984</v>
      </c>
      <c r="BE50" s="217">
        <v>0</v>
      </c>
      <c r="BF50" s="218">
        <v>2</v>
      </c>
      <c r="BG50" s="219">
        <v>2024.0155</v>
      </c>
      <c r="BH50" s="220" t="s">
        <v>23</v>
      </c>
      <c r="BI50" s="220">
        <v>2</v>
      </c>
      <c r="BJ50" s="220" t="s">
        <v>320</v>
      </c>
      <c r="BK50" s="209">
        <v>2</v>
      </c>
      <c r="BL50" s="221" t="s">
        <v>321</v>
      </c>
      <c r="BM50" s="163" t="s">
        <v>963</v>
      </c>
      <c r="BN50" s="163" t="s">
        <v>1616</v>
      </c>
      <c r="BO50" s="163" t="s">
        <v>1617</v>
      </c>
      <c r="BP50" s="163" t="s">
        <v>947</v>
      </c>
      <c r="BQ50" s="163" t="s">
        <v>1651</v>
      </c>
      <c r="BR50" s="163" t="s">
        <v>354</v>
      </c>
      <c r="BS50" s="163" t="s">
        <v>752</v>
      </c>
      <c r="BT50" s="163" t="s">
        <v>753</v>
      </c>
      <c r="BU50" s="163" t="s">
        <v>754</v>
      </c>
      <c r="BV50" s="163" t="s">
        <v>755</v>
      </c>
      <c r="BW50" s="163" t="s">
        <v>756</v>
      </c>
      <c r="BX50" s="163" t="s">
        <v>757</v>
      </c>
      <c r="BY50" s="163" t="s">
        <v>758</v>
      </c>
      <c r="BZ50" s="163" t="s">
        <v>759</v>
      </c>
      <c r="CA50" s="163"/>
      <c r="CB50" s="163"/>
      <c r="CC50" s="163"/>
      <c r="CD50" s="681"/>
      <c r="CE50" s="11" t="s">
        <v>2094</v>
      </c>
      <c r="CH50" s="11">
        <f t="shared" si="1"/>
        <v>8</v>
      </c>
    </row>
    <row r="51" spans="1:86" s="487" customFormat="1" x14ac:dyDescent="0.25">
      <c r="A51" s="488" t="s">
        <v>74</v>
      </c>
      <c r="B51" s="489">
        <v>406</v>
      </c>
      <c r="C51" s="597" t="s">
        <v>1897</v>
      </c>
      <c r="D51" s="492">
        <v>2.5</v>
      </c>
      <c r="E51" s="493" t="s">
        <v>1917</v>
      </c>
      <c r="F51" s="493"/>
      <c r="G51" s="493"/>
      <c r="H51" s="493" t="s">
        <v>1967</v>
      </c>
      <c r="I51" s="494" t="s">
        <v>1685</v>
      </c>
      <c r="J51" s="494" t="s">
        <v>1080</v>
      </c>
      <c r="K51" s="494" t="s">
        <v>872</v>
      </c>
      <c r="L51" s="495">
        <v>0.25</v>
      </c>
      <c r="M51" s="495">
        <v>0</v>
      </c>
      <c r="N51" s="495">
        <v>0.25</v>
      </c>
      <c r="O51" s="495">
        <v>0.25</v>
      </c>
      <c r="P51" s="495">
        <v>0</v>
      </c>
      <c r="Q51" s="496">
        <v>0</v>
      </c>
      <c r="R51" s="497" t="s">
        <v>901</v>
      </c>
      <c r="S51" s="498" t="s">
        <v>1387</v>
      </c>
      <c r="T51" s="499">
        <v>2.5</v>
      </c>
      <c r="U51" s="500"/>
      <c r="V51" s="501"/>
      <c r="W51" s="501"/>
      <c r="X51" s="501"/>
      <c r="Y51" s="501"/>
      <c r="Z51" s="519" t="s">
        <v>911</v>
      </c>
      <c r="AA51" s="502" t="s">
        <v>912</v>
      </c>
      <c r="AB51" s="502" t="s">
        <v>186</v>
      </c>
      <c r="AC51" s="500">
        <v>2.5</v>
      </c>
      <c r="AD51" s="501"/>
      <c r="AE51" s="501"/>
      <c r="AF51" s="501"/>
      <c r="AG51" s="501"/>
      <c r="AH51" s="501"/>
      <c r="AI51" s="501"/>
      <c r="AJ51" s="503" t="s">
        <v>163</v>
      </c>
      <c r="AK51" s="500" t="s">
        <v>163</v>
      </c>
      <c r="AL51" s="504" t="s">
        <v>575</v>
      </c>
      <c r="AM51" s="505">
        <v>2.5</v>
      </c>
      <c r="AN51" s="520" t="s">
        <v>1248</v>
      </c>
      <c r="AO51" s="499">
        <v>2.5</v>
      </c>
      <c r="AP51" s="506" t="s">
        <v>23</v>
      </c>
      <c r="AQ51" s="500" t="s">
        <v>163</v>
      </c>
      <c r="AR51" s="507"/>
      <c r="AS51" s="507" t="s">
        <v>1816</v>
      </c>
      <c r="AT51" s="508">
        <f t="shared" si="4"/>
        <v>2.5</v>
      </c>
      <c r="AU51" s="509" t="s">
        <v>158</v>
      </c>
      <c r="AV51" s="491" t="s">
        <v>1291</v>
      </c>
      <c r="AW51" s="491">
        <v>2.5</v>
      </c>
      <c r="AX51" s="491">
        <v>0</v>
      </c>
      <c r="AY51" s="491">
        <v>0</v>
      </c>
      <c r="AZ51" s="491">
        <v>0</v>
      </c>
      <c r="BA51" s="510">
        <v>2.5</v>
      </c>
      <c r="BB51" s="511">
        <v>0.2</v>
      </c>
      <c r="BC51" s="512" t="s">
        <v>1008</v>
      </c>
      <c r="BD51" s="504" t="s">
        <v>163</v>
      </c>
      <c r="BE51" s="513" t="s">
        <v>163</v>
      </c>
      <c r="BF51" s="514" t="s">
        <v>163</v>
      </c>
      <c r="BG51" s="515">
        <v>2024.0223000000001</v>
      </c>
      <c r="BH51" s="516" t="s">
        <v>23</v>
      </c>
      <c r="BI51" s="516">
        <v>2.5</v>
      </c>
      <c r="BJ51" s="516" t="s">
        <v>320</v>
      </c>
      <c r="BK51" s="505">
        <v>2.5</v>
      </c>
      <c r="BL51" s="517" t="s">
        <v>321</v>
      </c>
      <c r="BM51" s="486" t="s">
        <v>865</v>
      </c>
      <c r="BN51" s="486" t="s">
        <v>1614</v>
      </c>
      <c r="BO51" s="486" t="s">
        <v>1615</v>
      </c>
      <c r="BP51" s="486" t="s">
        <v>947</v>
      </c>
      <c r="BQ51" s="486" t="s">
        <v>1652</v>
      </c>
      <c r="BR51" s="486" t="s">
        <v>354</v>
      </c>
      <c r="BS51" s="486" t="s">
        <v>866</v>
      </c>
      <c r="BT51" s="486" t="s">
        <v>867</v>
      </c>
      <c r="BU51" s="486" t="s">
        <v>868</v>
      </c>
      <c r="BV51" s="486" t="s">
        <v>869</v>
      </c>
      <c r="BW51" s="486" t="s">
        <v>870</v>
      </c>
      <c r="BX51" s="486" t="s">
        <v>871</v>
      </c>
      <c r="BY51" s="486"/>
      <c r="BZ51" s="486"/>
      <c r="CA51" s="486"/>
      <c r="CB51" s="486"/>
      <c r="CC51" s="486"/>
      <c r="CD51" s="682"/>
      <c r="CE51" s="487" t="s">
        <v>2095</v>
      </c>
      <c r="CH51" s="487">
        <f t="shared" si="1"/>
        <v>6</v>
      </c>
    </row>
    <row r="52" spans="1:86" ht="26.4" x14ac:dyDescent="0.25">
      <c r="A52" s="192" t="s">
        <v>892</v>
      </c>
      <c r="B52" s="193">
        <v>407</v>
      </c>
      <c r="C52" s="343" t="s">
        <v>891</v>
      </c>
      <c r="D52" s="196">
        <v>1</v>
      </c>
      <c r="E52" s="197" t="s">
        <v>1917</v>
      </c>
      <c r="F52" s="197"/>
      <c r="G52" s="197"/>
      <c r="H52" s="197" t="s">
        <v>1970</v>
      </c>
      <c r="I52" s="198" t="s">
        <v>1684</v>
      </c>
      <c r="J52" s="198" t="s">
        <v>1081</v>
      </c>
      <c r="K52" s="198" t="s">
        <v>894</v>
      </c>
      <c r="L52" s="199">
        <v>0.1</v>
      </c>
      <c r="M52" s="199">
        <v>0</v>
      </c>
      <c r="N52" s="199">
        <v>0.1</v>
      </c>
      <c r="O52" s="199">
        <v>0.1</v>
      </c>
      <c r="P52" s="199">
        <v>0</v>
      </c>
      <c r="Q52" s="200">
        <v>0</v>
      </c>
      <c r="R52" s="201" t="s">
        <v>901</v>
      </c>
      <c r="S52" s="202" t="s">
        <v>1388</v>
      </c>
      <c r="T52" s="203">
        <v>1</v>
      </c>
      <c r="U52" s="204"/>
      <c r="V52" s="205"/>
      <c r="W52" s="205"/>
      <c r="X52" s="205"/>
      <c r="Y52" s="205"/>
      <c r="Z52" s="224" t="s">
        <v>1738</v>
      </c>
      <c r="AA52" s="206" t="s">
        <v>1737</v>
      </c>
      <c r="AB52" s="206" t="s">
        <v>186</v>
      </c>
      <c r="AC52" s="204">
        <v>1</v>
      </c>
      <c r="AD52" s="205"/>
      <c r="AE52" s="205"/>
      <c r="AF52" s="205"/>
      <c r="AG52" s="205"/>
      <c r="AH52" s="205"/>
      <c r="AI52" s="205"/>
      <c r="AJ52" s="207" t="s">
        <v>163</v>
      </c>
      <c r="AK52" s="204" t="s">
        <v>163</v>
      </c>
      <c r="AL52" s="208" t="s">
        <v>571</v>
      </c>
      <c r="AM52" s="209">
        <v>1</v>
      </c>
      <c r="AN52" s="202" t="s">
        <v>1249</v>
      </c>
      <c r="AO52" s="203">
        <v>1</v>
      </c>
      <c r="AP52" s="210" t="s">
        <v>23</v>
      </c>
      <c r="AQ52" s="204" t="s">
        <v>163</v>
      </c>
      <c r="AR52" s="211" t="s">
        <v>111</v>
      </c>
      <c r="AS52" s="211" t="s">
        <v>1817</v>
      </c>
      <c r="AT52" s="212">
        <v>1</v>
      </c>
      <c r="AU52" s="213" t="s">
        <v>158</v>
      </c>
      <c r="AV52" s="195" t="s">
        <v>1292</v>
      </c>
      <c r="AW52" s="195">
        <v>1</v>
      </c>
      <c r="AX52" s="195">
        <v>0</v>
      </c>
      <c r="AY52" s="195">
        <v>0</v>
      </c>
      <c r="AZ52" s="195">
        <v>0</v>
      </c>
      <c r="BA52" s="214">
        <v>1</v>
      </c>
      <c r="BB52" s="215">
        <v>0.1</v>
      </c>
      <c r="BC52" s="216" t="s">
        <v>1006</v>
      </c>
      <c r="BD52" s="208" t="s">
        <v>163</v>
      </c>
      <c r="BE52" s="217" t="s">
        <v>163</v>
      </c>
      <c r="BF52" s="218" t="s">
        <v>163</v>
      </c>
      <c r="BG52" s="219">
        <v>2024.0155999999999</v>
      </c>
      <c r="BH52" s="220" t="s">
        <v>23</v>
      </c>
      <c r="BI52" s="220">
        <v>1</v>
      </c>
      <c r="BJ52" s="220" t="s">
        <v>320</v>
      </c>
      <c r="BK52" s="209">
        <v>1</v>
      </c>
      <c r="BL52" s="221" t="s">
        <v>321</v>
      </c>
      <c r="BM52" s="163" t="s">
        <v>913</v>
      </c>
      <c r="BN52" s="163" t="s">
        <v>1612</v>
      </c>
      <c r="BO52" s="163" t="s">
        <v>1613</v>
      </c>
      <c r="BP52" s="163" t="s">
        <v>947</v>
      </c>
      <c r="BQ52" s="163" t="s">
        <v>1651</v>
      </c>
      <c r="BR52" s="163" t="s">
        <v>354</v>
      </c>
      <c r="BS52" s="163" t="s">
        <v>914</v>
      </c>
      <c r="BT52" s="163" t="s">
        <v>915</v>
      </c>
      <c r="BU52" s="163" t="s">
        <v>916</v>
      </c>
      <c r="BV52" s="163" t="s">
        <v>1449</v>
      </c>
      <c r="BW52" s="163"/>
      <c r="BX52" s="163"/>
      <c r="BY52" s="163"/>
      <c r="BZ52" s="163"/>
      <c r="CA52" s="163"/>
      <c r="CB52" s="163"/>
      <c r="CC52" s="163"/>
      <c r="CD52" s="681"/>
      <c r="CE52" s="11" t="s">
        <v>2091</v>
      </c>
      <c r="CH52" s="11">
        <f t="shared" si="1"/>
        <v>4</v>
      </c>
    </row>
    <row r="53" spans="1:86" s="487" customFormat="1" ht="26.25" customHeight="1" x14ac:dyDescent="0.25">
      <c r="A53" s="488" t="s">
        <v>893</v>
      </c>
      <c r="B53" s="489">
        <v>408</v>
      </c>
      <c r="C53" s="597" t="s">
        <v>895</v>
      </c>
      <c r="D53" s="492">
        <v>1</v>
      </c>
      <c r="E53" s="493" t="s">
        <v>1917</v>
      </c>
      <c r="F53" s="493"/>
      <c r="G53" s="493"/>
      <c r="H53" s="493" t="s">
        <v>2010</v>
      </c>
      <c r="I53" s="494" t="s">
        <v>1680</v>
      </c>
      <c r="J53" s="494" t="s">
        <v>1082</v>
      </c>
      <c r="K53" s="494" t="s">
        <v>896</v>
      </c>
      <c r="L53" s="495">
        <v>0.1</v>
      </c>
      <c r="M53" s="495">
        <v>0</v>
      </c>
      <c r="N53" s="495">
        <v>0.1</v>
      </c>
      <c r="O53" s="495">
        <v>0.1</v>
      </c>
      <c r="P53" s="495">
        <v>0</v>
      </c>
      <c r="Q53" s="496">
        <v>0</v>
      </c>
      <c r="R53" s="497" t="s">
        <v>901</v>
      </c>
      <c r="S53" s="498" t="s">
        <v>1389</v>
      </c>
      <c r="T53" s="499">
        <v>1</v>
      </c>
      <c r="U53" s="500"/>
      <c r="V53" s="501"/>
      <c r="W53" s="501"/>
      <c r="X53" s="501"/>
      <c r="Y53" s="501"/>
      <c r="Z53" s="519" t="s">
        <v>1739</v>
      </c>
      <c r="AA53" s="502" t="s">
        <v>1737</v>
      </c>
      <c r="AB53" s="502" t="s">
        <v>182</v>
      </c>
      <c r="AC53" s="500">
        <v>1</v>
      </c>
      <c r="AD53" s="501"/>
      <c r="AE53" s="501"/>
      <c r="AF53" s="501"/>
      <c r="AG53" s="501"/>
      <c r="AH53" s="501"/>
      <c r="AI53" s="501"/>
      <c r="AJ53" s="503" t="s">
        <v>163</v>
      </c>
      <c r="AK53" s="500" t="s">
        <v>163</v>
      </c>
      <c r="AL53" s="504" t="s">
        <v>571</v>
      </c>
      <c r="AM53" s="505">
        <v>1</v>
      </c>
      <c r="AN53" s="498" t="s">
        <v>1250</v>
      </c>
      <c r="AO53" s="499">
        <v>1</v>
      </c>
      <c r="AP53" s="506" t="s">
        <v>23</v>
      </c>
      <c r="AQ53" s="500" t="s">
        <v>163</v>
      </c>
      <c r="AR53" s="507"/>
      <c r="AS53" s="507" t="s">
        <v>1819</v>
      </c>
      <c r="AT53" s="508">
        <v>1</v>
      </c>
      <c r="AU53" s="509" t="s">
        <v>158</v>
      </c>
      <c r="AV53" s="491" t="s">
        <v>1293</v>
      </c>
      <c r="AW53" s="491">
        <v>1</v>
      </c>
      <c r="AX53" s="491">
        <v>0</v>
      </c>
      <c r="AY53" s="491">
        <v>0</v>
      </c>
      <c r="AZ53" s="491">
        <v>0</v>
      </c>
      <c r="BA53" s="510">
        <v>1</v>
      </c>
      <c r="BB53" s="511">
        <v>0.1</v>
      </c>
      <c r="BC53" s="512" t="s">
        <v>1005</v>
      </c>
      <c r="BD53" s="504" t="s">
        <v>163</v>
      </c>
      <c r="BE53" s="513" t="s">
        <v>163</v>
      </c>
      <c r="BF53" s="514" t="s">
        <v>163</v>
      </c>
      <c r="BG53" s="515">
        <v>2024.0157999999999</v>
      </c>
      <c r="BH53" s="516" t="s">
        <v>23</v>
      </c>
      <c r="BI53" s="516">
        <v>1</v>
      </c>
      <c r="BJ53" s="516" t="s">
        <v>320</v>
      </c>
      <c r="BK53" s="505">
        <v>1</v>
      </c>
      <c r="BL53" s="517" t="s">
        <v>321</v>
      </c>
      <c r="BM53" s="486" t="s">
        <v>917</v>
      </c>
      <c r="BN53" s="486" t="s">
        <v>1610</v>
      </c>
      <c r="BO53" s="486" t="s">
        <v>1611</v>
      </c>
      <c r="BP53" s="486" t="s">
        <v>947</v>
      </c>
      <c r="BQ53" s="486" t="s">
        <v>1651</v>
      </c>
      <c r="BR53" s="486" t="s">
        <v>354</v>
      </c>
      <c r="BS53" s="486" t="s">
        <v>918</v>
      </c>
      <c r="BT53" s="486" t="s">
        <v>919</v>
      </c>
      <c r="BU53" s="486" t="s">
        <v>920</v>
      </c>
      <c r="BV53" s="486" t="s">
        <v>921</v>
      </c>
      <c r="BW53" s="486" t="s">
        <v>922</v>
      </c>
      <c r="BX53" s="486" t="s">
        <v>923</v>
      </c>
      <c r="BY53" s="486"/>
      <c r="BZ53" s="486"/>
      <c r="CA53" s="486"/>
      <c r="CB53" s="486"/>
      <c r="CC53" s="486"/>
      <c r="CD53" s="682"/>
      <c r="CE53" s="487" t="s">
        <v>2096</v>
      </c>
      <c r="CH53" s="487">
        <f t="shared" si="1"/>
        <v>6</v>
      </c>
    </row>
    <row r="54" spans="1:86" ht="26.4" x14ac:dyDescent="0.25">
      <c r="A54" s="192" t="s">
        <v>75</v>
      </c>
      <c r="B54" s="193">
        <v>409</v>
      </c>
      <c r="C54" s="343" t="s">
        <v>897</v>
      </c>
      <c r="D54" s="196">
        <v>1</v>
      </c>
      <c r="E54" s="197" t="s">
        <v>1917</v>
      </c>
      <c r="F54" s="197"/>
      <c r="G54" s="197"/>
      <c r="H54" s="197" t="s">
        <v>2011</v>
      </c>
      <c r="I54" s="198" t="s">
        <v>1679</v>
      </c>
      <c r="J54" s="198" t="s">
        <v>1084</v>
      </c>
      <c r="K54" s="198" t="s">
        <v>896</v>
      </c>
      <c r="L54" s="199">
        <v>0.1</v>
      </c>
      <c r="M54" s="199">
        <v>0</v>
      </c>
      <c r="N54" s="199">
        <v>0.1</v>
      </c>
      <c r="O54" s="199">
        <v>0.1</v>
      </c>
      <c r="P54" s="199">
        <v>0</v>
      </c>
      <c r="Q54" s="200">
        <v>0</v>
      </c>
      <c r="R54" s="201" t="s">
        <v>901</v>
      </c>
      <c r="S54" s="202" t="s">
        <v>1390</v>
      </c>
      <c r="T54" s="203">
        <v>1</v>
      </c>
      <c r="U54" s="204"/>
      <c r="V54" s="205"/>
      <c r="W54" s="205"/>
      <c r="X54" s="205"/>
      <c r="Y54" s="205"/>
      <c r="Z54" s="224" t="s">
        <v>1740</v>
      </c>
      <c r="AA54" s="206" t="s">
        <v>1737</v>
      </c>
      <c r="AB54" s="206" t="s">
        <v>182</v>
      </c>
      <c r="AC54" s="204">
        <v>1</v>
      </c>
      <c r="AD54" s="205"/>
      <c r="AE54" s="205"/>
      <c r="AF54" s="205"/>
      <c r="AG54" s="205"/>
      <c r="AH54" s="205"/>
      <c r="AI54" s="205"/>
      <c r="AJ54" s="207" t="s">
        <v>163</v>
      </c>
      <c r="AK54" s="204" t="s">
        <v>163</v>
      </c>
      <c r="AL54" s="208" t="s">
        <v>571</v>
      </c>
      <c r="AM54" s="209">
        <v>1</v>
      </c>
      <c r="AN54" s="202" t="s">
        <v>1251</v>
      </c>
      <c r="AO54" s="203">
        <v>1</v>
      </c>
      <c r="AP54" s="210" t="s">
        <v>23</v>
      </c>
      <c r="AQ54" s="204" t="s">
        <v>163</v>
      </c>
      <c r="AR54" s="211" t="s">
        <v>112</v>
      </c>
      <c r="AS54" s="211" t="s">
        <v>1820</v>
      </c>
      <c r="AT54" s="212">
        <v>1</v>
      </c>
      <c r="AU54" s="213" t="s">
        <v>158</v>
      </c>
      <c r="AV54" s="195" t="s">
        <v>1294</v>
      </c>
      <c r="AW54" s="195">
        <v>1</v>
      </c>
      <c r="AX54" s="195">
        <v>0</v>
      </c>
      <c r="AY54" s="195">
        <v>0</v>
      </c>
      <c r="AZ54" s="195">
        <v>0</v>
      </c>
      <c r="BA54" s="214">
        <v>1</v>
      </c>
      <c r="BB54" s="215">
        <v>0.1</v>
      </c>
      <c r="BC54" s="216" t="s">
        <v>1051</v>
      </c>
      <c r="BD54" s="208" t="s">
        <v>163</v>
      </c>
      <c r="BE54" s="217" t="s">
        <v>163</v>
      </c>
      <c r="BF54" s="218" t="s">
        <v>163</v>
      </c>
      <c r="BG54" s="219">
        <v>2024.0156999999999</v>
      </c>
      <c r="BH54" s="220" t="s">
        <v>23</v>
      </c>
      <c r="BI54" s="220">
        <v>1</v>
      </c>
      <c r="BJ54" s="220" t="s">
        <v>320</v>
      </c>
      <c r="BK54" s="209">
        <v>1</v>
      </c>
      <c r="BL54" s="221" t="s">
        <v>321</v>
      </c>
      <c r="BM54" s="163" t="s">
        <v>1666</v>
      </c>
      <c r="BN54" s="163" t="s">
        <v>1608</v>
      </c>
      <c r="BO54" s="163" t="s">
        <v>1609</v>
      </c>
      <c r="BP54" s="163" t="s">
        <v>947</v>
      </c>
      <c r="BQ54" s="163" t="s">
        <v>1653</v>
      </c>
      <c r="BR54" s="163" t="s">
        <v>354</v>
      </c>
      <c r="BS54" s="163" t="s">
        <v>924</v>
      </c>
      <c r="BT54" s="163" t="s">
        <v>925</v>
      </c>
      <c r="BU54" s="163" t="s">
        <v>926</v>
      </c>
      <c r="BV54" s="163" t="s">
        <v>927</v>
      </c>
      <c r="BW54" s="163" t="s">
        <v>928</v>
      </c>
      <c r="BX54" s="163" t="s">
        <v>929</v>
      </c>
      <c r="BY54" s="163"/>
      <c r="BZ54" s="163"/>
      <c r="CA54" s="163"/>
      <c r="CB54" s="163"/>
      <c r="CC54" s="163"/>
      <c r="CD54" s="681"/>
      <c r="CE54" s="11" t="s">
        <v>2097</v>
      </c>
      <c r="CH54" s="11">
        <f t="shared" si="1"/>
        <v>6</v>
      </c>
    </row>
    <row r="55" spans="1:86" s="487" customFormat="1" x14ac:dyDescent="0.25">
      <c r="A55" s="488" t="s">
        <v>76</v>
      </c>
      <c r="B55" s="489">
        <v>410</v>
      </c>
      <c r="C55" s="597" t="s">
        <v>6</v>
      </c>
      <c r="D55" s="492">
        <v>1.5</v>
      </c>
      <c r="E55" s="493" t="s">
        <v>1917</v>
      </c>
      <c r="F55" s="493"/>
      <c r="G55" s="493"/>
      <c r="H55" s="493" t="s">
        <v>1971</v>
      </c>
      <c r="I55" s="494" t="s">
        <v>1681</v>
      </c>
      <c r="J55" s="494" t="s">
        <v>1174</v>
      </c>
      <c r="K55" s="494" t="s">
        <v>657</v>
      </c>
      <c r="L55" s="495">
        <v>0.15</v>
      </c>
      <c r="M55" s="495">
        <v>0</v>
      </c>
      <c r="N55" s="495">
        <v>0.15</v>
      </c>
      <c r="O55" s="495">
        <v>0.15</v>
      </c>
      <c r="P55" s="495">
        <v>0</v>
      </c>
      <c r="Q55" s="496">
        <v>0</v>
      </c>
      <c r="R55" s="497" t="s">
        <v>901</v>
      </c>
      <c r="S55" s="498" t="s">
        <v>1391</v>
      </c>
      <c r="T55" s="499">
        <v>1.5</v>
      </c>
      <c r="U55" s="500"/>
      <c r="V55" s="501"/>
      <c r="W55" s="501"/>
      <c r="X55" s="501"/>
      <c r="Y55" s="501"/>
      <c r="Z55" s="498" t="s">
        <v>209</v>
      </c>
      <c r="AA55" s="502" t="s">
        <v>210</v>
      </c>
      <c r="AB55" s="502" t="s">
        <v>186</v>
      </c>
      <c r="AC55" s="500">
        <v>1</v>
      </c>
      <c r="AD55" s="501"/>
      <c r="AE55" s="501"/>
      <c r="AF55" s="501"/>
      <c r="AG55" s="501"/>
      <c r="AH55" s="501"/>
      <c r="AI55" s="501"/>
      <c r="AJ55" s="503" t="s">
        <v>163</v>
      </c>
      <c r="AK55" s="500" t="s">
        <v>163</v>
      </c>
      <c r="AL55" s="504" t="s">
        <v>573</v>
      </c>
      <c r="AM55" s="505">
        <v>1.5</v>
      </c>
      <c r="AN55" s="520" t="s">
        <v>1252</v>
      </c>
      <c r="AO55" s="499">
        <v>1.5</v>
      </c>
      <c r="AP55" s="506" t="s">
        <v>23</v>
      </c>
      <c r="AQ55" s="500" t="s">
        <v>163</v>
      </c>
      <c r="AR55" s="507" t="s">
        <v>147</v>
      </c>
      <c r="AS55" s="507" t="s">
        <v>1821</v>
      </c>
      <c r="AT55" s="508">
        <f>L55*10</f>
        <v>1.5</v>
      </c>
      <c r="AU55" s="509" t="s">
        <v>158</v>
      </c>
      <c r="AV55" s="491" t="s">
        <v>1295</v>
      </c>
      <c r="AW55" s="491">
        <v>1.5</v>
      </c>
      <c r="AX55" s="491">
        <v>0</v>
      </c>
      <c r="AY55" s="491">
        <v>0</v>
      </c>
      <c r="AZ55" s="491">
        <v>0</v>
      </c>
      <c r="BA55" s="510">
        <v>1.5</v>
      </c>
      <c r="BB55" s="511">
        <v>0.1</v>
      </c>
      <c r="BC55" s="512" t="s">
        <v>1035</v>
      </c>
      <c r="BD55" s="504" t="s">
        <v>975</v>
      </c>
      <c r="BE55" s="513">
        <v>0</v>
      </c>
      <c r="BF55" s="514">
        <v>1.5</v>
      </c>
      <c r="BG55" s="515">
        <v>2024.0226</v>
      </c>
      <c r="BH55" s="516" t="s">
        <v>23</v>
      </c>
      <c r="BI55" s="516">
        <v>1.5</v>
      </c>
      <c r="BJ55" s="516" t="s">
        <v>320</v>
      </c>
      <c r="BK55" s="505">
        <v>1.5</v>
      </c>
      <c r="BL55" s="517" t="s">
        <v>321</v>
      </c>
      <c r="BM55" s="486" t="s">
        <v>1121</v>
      </c>
      <c r="BN55" s="486" t="s">
        <v>1606</v>
      </c>
      <c r="BO55" s="486" t="s">
        <v>1607</v>
      </c>
      <c r="BP55" s="486" t="s">
        <v>947</v>
      </c>
      <c r="BQ55" s="486" t="s">
        <v>1651</v>
      </c>
      <c r="BR55" s="486" t="s">
        <v>354</v>
      </c>
      <c r="BS55" s="486" t="s">
        <v>760</v>
      </c>
      <c r="BT55" s="486" t="s">
        <v>761</v>
      </c>
      <c r="BU55" s="486" t="s">
        <v>762</v>
      </c>
      <c r="BV55" s="486"/>
      <c r="BW55" s="486"/>
      <c r="BX55" s="486"/>
      <c r="BY55" s="486"/>
      <c r="BZ55" s="486"/>
      <c r="CA55" s="486"/>
      <c r="CB55" s="486"/>
      <c r="CC55" s="486"/>
      <c r="CD55" s="682"/>
      <c r="CE55" s="487" t="s">
        <v>2091</v>
      </c>
      <c r="CH55" s="487">
        <f t="shared" si="1"/>
        <v>3</v>
      </c>
    </row>
    <row r="56" spans="1:86" s="443" customFormat="1" x14ac:dyDescent="0.25">
      <c r="A56" s="411" t="s">
        <v>77</v>
      </c>
      <c r="B56" s="412">
        <v>411</v>
      </c>
      <c r="C56" s="444" t="s">
        <v>1199</v>
      </c>
      <c r="D56" s="415">
        <v>1.5</v>
      </c>
      <c r="E56" s="416"/>
      <c r="F56" s="416"/>
      <c r="G56" s="416"/>
      <c r="H56" s="416"/>
      <c r="I56" s="417"/>
      <c r="J56" s="417" t="s">
        <v>1754</v>
      </c>
      <c r="K56" s="417" t="s">
        <v>1753</v>
      </c>
      <c r="L56" s="418"/>
      <c r="M56" s="418"/>
      <c r="N56" s="418"/>
      <c r="O56" s="418"/>
      <c r="P56" s="418"/>
      <c r="Q56" s="419"/>
      <c r="R56" s="420"/>
      <c r="S56" s="421"/>
      <c r="T56" s="422"/>
      <c r="U56" s="423"/>
      <c r="V56" s="424"/>
      <c r="W56" s="424"/>
      <c r="X56" s="424"/>
      <c r="Y56" s="424"/>
      <c r="Z56" s="421"/>
      <c r="AA56" s="425"/>
      <c r="AB56" s="425"/>
      <c r="AC56" s="423"/>
      <c r="AD56" s="424"/>
      <c r="AE56" s="424"/>
      <c r="AF56" s="424"/>
      <c r="AG56" s="424"/>
      <c r="AH56" s="424"/>
      <c r="AI56" s="424"/>
      <c r="AJ56" s="426" t="s">
        <v>163</v>
      </c>
      <c r="AK56" s="423" t="s">
        <v>163</v>
      </c>
      <c r="AL56" s="427" t="s">
        <v>163</v>
      </c>
      <c r="AM56" s="428" t="s">
        <v>163</v>
      </c>
      <c r="AN56" s="445"/>
      <c r="AO56" s="422"/>
      <c r="AP56" s="429"/>
      <c r="AQ56" s="423" t="s">
        <v>163</v>
      </c>
      <c r="AR56" s="430"/>
      <c r="AS56" s="430" t="s">
        <v>1822</v>
      </c>
      <c r="AT56" s="431">
        <v>1.5</v>
      </c>
      <c r="AU56" s="432" t="s">
        <v>158</v>
      </c>
      <c r="AV56" s="414" t="s">
        <v>163</v>
      </c>
      <c r="AW56" s="414" t="s">
        <v>163</v>
      </c>
      <c r="AX56" s="414" t="s">
        <v>163</v>
      </c>
      <c r="AY56" s="414" t="s">
        <v>163</v>
      </c>
      <c r="AZ56" s="414" t="s">
        <v>163</v>
      </c>
      <c r="BA56" s="433"/>
      <c r="BB56" s="434" t="s">
        <v>163</v>
      </c>
      <c r="BC56" s="435" t="s">
        <v>163</v>
      </c>
      <c r="BD56" s="427" t="s">
        <v>163</v>
      </c>
      <c r="BE56" s="436" t="s">
        <v>163</v>
      </c>
      <c r="BF56" s="437" t="s">
        <v>163</v>
      </c>
      <c r="BG56" s="438"/>
      <c r="BH56" s="439"/>
      <c r="BI56" s="439"/>
      <c r="BJ56" s="439"/>
      <c r="BK56" s="428"/>
      <c r="BL56" s="440"/>
      <c r="BM56" s="442"/>
      <c r="BN56" s="442"/>
      <c r="BO56" s="442"/>
      <c r="BP56" s="442"/>
      <c r="BQ56" s="442"/>
      <c r="BR56" s="442" t="s">
        <v>354</v>
      </c>
      <c r="BS56" s="442"/>
      <c r="BT56" s="442"/>
      <c r="BU56" s="442"/>
      <c r="BV56" s="442"/>
      <c r="BW56" s="442"/>
      <c r="BX56" s="442"/>
      <c r="BY56" s="442"/>
      <c r="BZ56" s="442"/>
      <c r="CA56" s="442"/>
      <c r="CB56" s="442"/>
      <c r="CC56" s="442"/>
      <c r="CD56" s="685"/>
      <c r="CH56" s="443">
        <f t="shared" si="1"/>
        <v>0</v>
      </c>
    </row>
    <row r="57" spans="1:86" s="487" customFormat="1" x14ac:dyDescent="0.25">
      <c r="A57" s="488" t="s">
        <v>78</v>
      </c>
      <c r="B57" s="489">
        <v>412</v>
      </c>
      <c r="C57" s="597" t="s">
        <v>8</v>
      </c>
      <c r="D57" s="492">
        <v>3</v>
      </c>
      <c r="E57" s="493" t="s">
        <v>1917</v>
      </c>
      <c r="F57" s="493"/>
      <c r="G57" s="493"/>
      <c r="H57" s="493" t="s">
        <v>1972</v>
      </c>
      <c r="I57" s="494" t="s">
        <v>1682</v>
      </c>
      <c r="J57" s="494" t="s">
        <v>1175</v>
      </c>
      <c r="K57" s="494" t="s">
        <v>656</v>
      </c>
      <c r="L57" s="495">
        <v>0.3</v>
      </c>
      <c r="M57" s="495">
        <v>0.3</v>
      </c>
      <c r="N57" s="495">
        <v>0.3</v>
      </c>
      <c r="O57" s="495">
        <v>0.3</v>
      </c>
      <c r="P57" s="495">
        <v>0</v>
      </c>
      <c r="Q57" s="496">
        <v>0</v>
      </c>
      <c r="R57" s="497" t="s">
        <v>901</v>
      </c>
      <c r="S57" s="498" t="s">
        <v>1392</v>
      </c>
      <c r="T57" s="499">
        <v>2.5</v>
      </c>
      <c r="U57" s="500"/>
      <c r="V57" s="501"/>
      <c r="W57" s="501"/>
      <c r="X57" s="501"/>
      <c r="Y57" s="501"/>
      <c r="Z57" s="498" t="s">
        <v>211</v>
      </c>
      <c r="AA57" s="502" t="s">
        <v>212</v>
      </c>
      <c r="AB57" s="502" t="s">
        <v>186</v>
      </c>
      <c r="AC57" s="500">
        <v>1.5</v>
      </c>
      <c r="AD57" s="501"/>
      <c r="AE57" s="501"/>
      <c r="AF57" s="501"/>
      <c r="AG57" s="501"/>
      <c r="AH57" s="501"/>
      <c r="AI57" s="501"/>
      <c r="AJ57" s="503" t="s">
        <v>163</v>
      </c>
      <c r="AK57" s="500" t="s">
        <v>163</v>
      </c>
      <c r="AL57" s="504" t="s">
        <v>576</v>
      </c>
      <c r="AM57" s="505">
        <v>3</v>
      </c>
      <c r="AN57" s="498" t="s">
        <v>1328</v>
      </c>
      <c r="AO57" s="499">
        <v>3</v>
      </c>
      <c r="AP57" s="506" t="s">
        <v>23</v>
      </c>
      <c r="AQ57" s="500" t="s">
        <v>163</v>
      </c>
      <c r="AR57" s="507" t="s">
        <v>139</v>
      </c>
      <c r="AS57" s="507" t="s">
        <v>1823</v>
      </c>
      <c r="AT57" s="508">
        <f>L57*10</f>
        <v>3</v>
      </c>
      <c r="AU57" s="509" t="s">
        <v>158</v>
      </c>
      <c r="AV57" s="491" t="s">
        <v>1296</v>
      </c>
      <c r="AW57" s="491">
        <v>2.5</v>
      </c>
      <c r="AX57" s="491">
        <v>0</v>
      </c>
      <c r="AY57" s="491">
        <v>0</v>
      </c>
      <c r="AZ57" s="491">
        <v>0</v>
      </c>
      <c r="BA57" s="510">
        <v>3</v>
      </c>
      <c r="BB57" s="511">
        <v>0.2</v>
      </c>
      <c r="BC57" s="512" t="s">
        <v>1036</v>
      </c>
      <c r="BD57" s="504" t="s">
        <v>976</v>
      </c>
      <c r="BE57" s="513">
        <v>0</v>
      </c>
      <c r="BF57" s="514">
        <v>2</v>
      </c>
      <c r="BG57" s="515">
        <v>2024.0214000000001</v>
      </c>
      <c r="BH57" s="516" t="s">
        <v>23</v>
      </c>
      <c r="BI57" s="516">
        <v>3</v>
      </c>
      <c r="BJ57" s="516" t="s">
        <v>320</v>
      </c>
      <c r="BK57" s="505">
        <v>3</v>
      </c>
      <c r="BL57" s="517" t="s">
        <v>346</v>
      </c>
      <c r="BM57" s="599" t="s">
        <v>355</v>
      </c>
      <c r="BN57" s="599" t="s">
        <v>1604</v>
      </c>
      <c r="BO57" s="599" t="s">
        <v>1605</v>
      </c>
      <c r="BP57" s="599" t="s">
        <v>948</v>
      </c>
      <c r="BQ57" s="599" t="s">
        <v>1652</v>
      </c>
      <c r="BR57" s="599" t="s">
        <v>354</v>
      </c>
      <c r="BS57" s="486" t="s">
        <v>763</v>
      </c>
      <c r="BT57" s="486" t="s">
        <v>764</v>
      </c>
      <c r="BU57" s="486" t="s">
        <v>765</v>
      </c>
      <c r="BV57" s="486" t="s">
        <v>766</v>
      </c>
      <c r="BW57" s="486" t="s">
        <v>767</v>
      </c>
      <c r="BX57" s="486" t="s">
        <v>768</v>
      </c>
      <c r="BY57" s="486" t="s">
        <v>769</v>
      </c>
      <c r="BZ57" s="486" t="s">
        <v>770</v>
      </c>
      <c r="CA57" s="486"/>
      <c r="CB57" s="486"/>
      <c r="CC57" s="486"/>
      <c r="CD57" s="682"/>
      <c r="CE57" s="487" t="s">
        <v>2098</v>
      </c>
      <c r="CH57" s="487">
        <f t="shared" si="1"/>
        <v>8</v>
      </c>
    </row>
    <row r="58" spans="1:86" x14ac:dyDescent="0.25">
      <c r="A58" s="192" t="s">
        <v>79</v>
      </c>
      <c r="B58" s="193">
        <v>413</v>
      </c>
      <c r="C58" s="343" t="s">
        <v>9</v>
      </c>
      <c r="D58" s="196">
        <v>2</v>
      </c>
      <c r="E58" s="197" t="s">
        <v>1918</v>
      </c>
      <c r="F58" s="197"/>
      <c r="G58" s="197"/>
      <c r="H58" s="197" t="s">
        <v>1973</v>
      </c>
      <c r="I58" s="198" t="s">
        <v>1864</v>
      </c>
      <c r="J58" s="198" t="s">
        <v>1178</v>
      </c>
      <c r="K58" s="198" t="s">
        <v>654</v>
      </c>
      <c r="L58" s="199">
        <v>0.2</v>
      </c>
      <c r="M58" s="199">
        <v>0</v>
      </c>
      <c r="N58" s="199">
        <v>0.2</v>
      </c>
      <c r="O58" s="199">
        <v>0.2</v>
      </c>
      <c r="P58" s="199">
        <v>0</v>
      </c>
      <c r="Q58" s="200">
        <v>0</v>
      </c>
      <c r="R58" s="201" t="s">
        <v>901</v>
      </c>
      <c r="S58" s="202" t="s">
        <v>1393</v>
      </c>
      <c r="T58" s="203">
        <v>2</v>
      </c>
      <c r="U58" s="204"/>
      <c r="V58" s="205"/>
      <c r="W58" s="205"/>
      <c r="X58" s="205"/>
      <c r="Y58" s="205"/>
      <c r="Z58" s="202" t="s">
        <v>213</v>
      </c>
      <c r="AA58" s="206" t="s">
        <v>212</v>
      </c>
      <c r="AB58" s="206" t="s">
        <v>186</v>
      </c>
      <c r="AC58" s="204">
        <v>1.5</v>
      </c>
      <c r="AD58" s="205"/>
      <c r="AE58" s="205"/>
      <c r="AF58" s="205"/>
      <c r="AG58" s="205"/>
      <c r="AH58" s="205"/>
      <c r="AI58" s="205"/>
      <c r="AJ58" s="207" t="s">
        <v>163</v>
      </c>
      <c r="AK58" s="204" t="s">
        <v>163</v>
      </c>
      <c r="AL58" s="208" t="s">
        <v>574</v>
      </c>
      <c r="AM58" s="209">
        <v>2</v>
      </c>
      <c r="AN58" s="202" t="s">
        <v>1253</v>
      </c>
      <c r="AO58" s="203">
        <v>2</v>
      </c>
      <c r="AP58" s="210" t="s">
        <v>23</v>
      </c>
      <c r="AQ58" s="204" t="s">
        <v>163</v>
      </c>
      <c r="AR58" s="211" t="s">
        <v>117</v>
      </c>
      <c r="AS58" s="211" t="s">
        <v>1824</v>
      </c>
      <c r="AT58" s="212">
        <f>L58*10</f>
        <v>2</v>
      </c>
      <c r="AU58" s="213" t="s">
        <v>158</v>
      </c>
      <c r="AV58" s="195" t="s">
        <v>1297</v>
      </c>
      <c r="AW58" s="195">
        <v>2</v>
      </c>
      <c r="AX58" s="195">
        <v>0</v>
      </c>
      <c r="AY58" s="195">
        <v>0</v>
      </c>
      <c r="AZ58" s="195">
        <v>0</v>
      </c>
      <c r="BA58" s="214">
        <v>2</v>
      </c>
      <c r="BB58" s="215">
        <v>0.2</v>
      </c>
      <c r="BC58" s="216" t="s">
        <v>1037</v>
      </c>
      <c r="BD58" s="208" t="s">
        <v>974</v>
      </c>
      <c r="BE58" s="217">
        <v>0</v>
      </c>
      <c r="BF58" s="218">
        <v>1.5</v>
      </c>
      <c r="BG58" s="219">
        <v>2024.0168000000001</v>
      </c>
      <c r="BH58" s="220" t="s">
        <v>23</v>
      </c>
      <c r="BI58" s="220">
        <v>2</v>
      </c>
      <c r="BJ58" s="220" t="s">
        <v>320</v>
      </c>
      <c r="BK58" s="209">
        <v>2</v>
      </c>
      <c r="BL58" s="221" t="s">
        <v>346</v>
      </c>
      <c r="BM58" s="163" t="s">
        <v>102</v>
      </c>
      <c r="BN58" s="163" t="s">
        <v>1603</v>
      </c>
      <c r="BO58" s="163" t="s">
        <v>2068</v>
      </c>
      <c r="BP58" s="163" t="s">
        <v>949</v>
      </c>
      <c r="BQ58" s="163" t="s">
        <v>1652</v>
      </c>
      <c r="BR58" s="163" t="s">
        <v>354</v>
      </c>
      <c r="BS58" s="163" t="s">
        <v>771</v>
      </c>
      <c r="BT58" s="163" t="s">
        <v>772</v>
      </c>
      <c r="BU58" s="163" t="s">
        <v>773</v>
      </c>
      <c r="BV58" s="163" t="s">
        <v>774</v>
      </c>
      <c r="BW58" s="163" t="s">
        <v>775</v>
      </c>
      <c r="BX58" s="163" t="s">
        <v>776</v>
      </c>
      <c r="BY58" s="163" t="s">
        <v>777</v>
      </c>
      <c r="BZ58" s="163"/>
      <c r="CA58" s="163"/>
      <c r="CB58" s="163"/>
      <c r="CC58" s="163"/>
      <c r="CD58" s="681"/>
      <c r="CE58" s="11" t="s">
        <v>2098</v>
      </c>
      <c r="CH58" s="11">
        <f t="shared" si="1"/>
        <v>7</v>
      </c>
    </row>
    <row r="59" spans="1:86" s="487" customFormat="1" x14ac:dyDescent="0.25">
      <c r="A59" s="488" t="s">
        <v>80</v>
      </c>
      <c r="B59" s="489">
        <v>414</v>
      </c>
      <c r="C59" s="597" t="s">
        <v>154</v>
      </c>
      <c r="D59" s="492">
        <v>1.5</v>
      </c>
      <c r="E59" s="493" t="s">
        <v>1917</v>
      </c>
      <c r="F59" s="493"/>
      <c r="G59" s="493"/>
      <c r="H59" s="493" t="s">
        <v>1974</v>
      </c>
      <c r="I59" s="494" t="s">
        <v>1683</v>
      </c>
      <c r="J59" s="494" t="s">
        <v>1083</v>
      </c>
      <c r="K59" s="494" t="s">
        <v>653</v>
      </c>
      <c r="L59" s="495">
        <v>0.15</v>
      </c>
      <c r="M59" s="495">
        <v>0.15</v>
      </c>
      <c r="N59" s="495">
        <v>0.15</v>
      </c>
      <c r="O59" s="495">
        <v>0.15</v>
      </c>
      <c r="P59" s="495">
        <v>0</v>
      </c>
      <c r="Q59" s="496">
        <v>0</v>
      </c>
      <c r="R59" s="497" t="s">
        <v>901</v>
      </c>
      <c r="S59" s="498" t="s">
        <v>1394</v>
      </c>
      <c r="T59" s="499">
        <v>1.5</v>
      </c>
      <c r="U59" s="500"/>
      <c r="V59" s="501"/>
      <c r="W59" s="501"/>
      <c r="X59" s="501"/>
      <c r="Y59" s="501"/>
      <c r="Z59" s="498" t="s">
        <v>214</v>
      </c>
      <c r="AA59" s="502" t="s">
        <v>215</v>
      </c>
      <c r="AB59" s="502" t="s">
        <v>186</v>
      </c>
      <c r="AC59" s="500">
        <v>1</v>
      </c>
      <c r="AD59" s="501"/>
      <c r="AE59" s="501"/>
      <c r="AF59" s="501"/>
      <c r="AG59" s="501"/>
      <c r="AH59" s="501"/>
      <c r="AI59" s="501"/>
      <c r="AJ59" s="503" t="s">
        <v>163</v>
      </c>
      <c r="AK59" s="500" t="s">
        <v>163</v>
      </c>
      <c r="AL59" s="504" t="s">
        <v>573</v>
      </c>
      <c r="AM59" s="505">
        <v>1.5</v>
      </c>
      <c r="AN59" s="520" t="s">
        <v>1254</v>
      </c>
      <c r="AO59" s="499">
        <v>1.5</v>
      </c>
      <c r="AP59" s="506" t="s">
        <v>23</v>
      </c>
      <c r="AQ59" s="500" t="s">
        <v>163</v>
      </c>
      <c r="AR59" s="507" t="s">
        <v>145</v>
      </c>
      <c r="AS59" s="507" t="s">
        <v>1825</v>
      </c>
      <c r="AT59" s="508">
        <f>L59*10</f>
        <v>1.5</v>
      </c>
      <c r="AU59" s="509" t="s">
        <v>158</v>
      </c>
      <c r="AV59" s="491" t="s">
        <v>1298</v>
      </c>
      <c r="AW59" s="491">
        <v>1.5</v>
      </c>
      <c r="AX59" s="491">
        <v>0</v>
      </c>
      <c r="AY59" s="491">
        <v>0</v>
      </c>
      <c r="AZ59" s="491">
        <v>0</v>
      </c>
      <c r="BA59" s="510">
        <v>1.5</v>
      </c>
      <c r="BB59" s="511">
        <v>0.1</v>
      </c>
      <c r="BC59" s="512" t="s">
        <v>1038</v>
      </c>
      <c r="BD59" s="504" t="s">
        <v>977</v>
      </c>
      <c r="BE59" s="513">
        <v>0</v>
      </c>
      <c r="BF59" s="514">
        <v>1.5</v>
      </c>
      <c r="BG59" s="515">
        <v>2024.0220999999999</v>
      </c>
      <c r="BH59" s="516" t="s">
        <v>23</v>
      </c>
      <c r="BI59" s="516">
        <v>1.5</v>
      </c>
      <c r="BJ59" s="516" t="s">
        <v>320</v>
      </c>
      <c r="BK59" s="505">
        <v>1.5</v>
      </c>
      <c r="BL59" s="517" t="s">
        <v>346</v>
      </c>
      <c r="BM59" s="599" t="s">
        <v>964</v>
      </c>
      <c r="BN59" s="599" t="s">
        <v>1601</v>
      </c>
      <c r="BO59" s="599" t="s">
        <v>1602</v>
      </c>
      <c r="BP59" s="599" t="s">
        <v>950</v>
      </c>
      <c r="BQ59" s="599" t="s">
        <v>1652</v>
      </c>
      <c r="BR59" s="599" t="s">
        <v>354</v>
      </c>
      <c r="BS59" s="486" t="s">
        <v>778</v>
      </c>
      <c r="BT59" s="486" t="s">
        <v>779</v>
      </c>
      <c r="BU59" s="486" t="s">
        <v>780</v>
      </c>
      <c r="BV59" s="486" t="s">
        <v>781</v>
      </c>
      <c r="BW59" s="486" t="s">
        <v>782</v>
      </c>
      <c r="BX59" s="486" t="s">
        <v>783</v>
      </c>
      <c r="BY59" s="486"/>
      <c r="BZ59" s="486"/>
      <c r="CA59" s="486"/>
      <c r="CB59" s="486"/>
      <c r="CC59" s="486"/>
      <c r="CD59" s="682"/>
      <c r="CE59" s="487" t="s">
        <v>2099</v>
      </c>
      <c r="CH59" s="487">
        <f t="shared" si="1"/>
        <v>6</v>
      </c>
    </row>
    <row r="60" spans="1:86" ht="29.25" customHeight="1" x14ac:dyDescent="0.25">
      <c r="A60" s="192" t="s">
        <v>81</v>
      </c>
      <c r="B60" s="193">
        <v>415</v>
      </c>
      <c r="C60" s="343" t="s">
        <v>7</v>
      </c>
      <c r="D60" s="196">
        <v>2.5</v>
      </c>
      <c r="E60" s="197" t="s">
        <v>1918</v>
      </c>
      <c r="F60" s="197"/>
      <c r="G60" s="197"/>
      <c r="H60" s="197" t="s">
        <v>1975</v>
      </c>
      <c r="I60" s="198" t="s">
        <v>1863</v>
      </c>
      <c r="J60" s="198" t="s">
        <v>1176</v>
      </c>
      <c r="K60" s="198" t="s">
        <v>652</v>
      </c>
      <c r="L60" s="199">
        <v>0.25</v>
      </c>
      <c r="M60" s="199">
        <v>0</v>
      </c>
      <c r="N60" s="199">
        <v>0.25</v>
      </c>
      <c r="O60" s="199">
        <v>0.25</v>
      </c>
      <c r="P60" s="199">
        <v>0</v>
      </c>
      <c r="Q60" s="200">
        <v>0</v>
      </c>
      <c r="R60" s="201" t="s">
        <v>901</v>
      </c>
      <c r="S60" s="202" t="s">
        <v>1395</v>
      </c>
      <c r="T60" s="203">
        <v>2.5</v>
      </c>
      <c r="U60" s="204"/>
      <c r="V60" s="205"/>
      <c r="W60" s="205"/>
      <c r="X60" s="205"/>
      <c r="Y60" s="205"/>
      <c r="Z60" s="202" t="s">
        <v>216</v>
      </c>
      <c r="AA60" s="206" t="s">
        <v>215</v>
      </c>
      <c r="AB60" s="206" t="s">
        <v>186</v>
      </c>
      <c r="AC60" s="204">
        <v>2</v>
      </c>
      <c r="AD60" s="205"/>
      <c r="AE60" s="205"/>
      <c r="AF60" s="205"/>
      <c r="AG60" s="205"/>
      <c r="AH60" s="205"/>
      <c r="AI60" s="205"/>
      <c r="AJ60" s="207" t="s">
        <v>163</v>
      </c>
      <c r="AK60" s="204" t="s">
        <v>163</v>
      </c>
      <c r="AL60" s="208" t="s">
        <v>575</v>
      </c>
      <c r="AM60" s="209">
        <v>2.5</v>
      </c>
      <c r="AN60" s="202" t="s">
        <v>1255</v>
      </c>
      <c r="AO60" s="203">
        <v>2.5</v>
      </c>
      <c r="AP60" s="210" t="s">
        <v>23</v>
      </c>
      <c r="AQ60" s="204" t="s">
        <v>163</v>
      </c>
      <c r="AR60" s="211" t="s">
        <v>113</v>
      </c>
      <c r="AS60" s="211" t="s">
        <v>1826</v>
      </c>
      <c r="AT60" s="212">
        <f>L60*10</f>
        <v>2.5</v>
      </c>
      <c r="AU60" s="213" t="s">
        <v>158</v>
      </c>
      <c r="AV60" s="195" t="s">
        <v>1299</v>
      </c>
      <c r="AW60" s="195">
        <v>2.5</v>
      </c>
      <c r="AX60" s="195">
        <v>0</v>
      </c>
      <c r="AY60" s="195">
        <v>0</v>
      </c>
      <c r="AZ60" s="195">
        <v>0</v>
      </c>
      <c r="BA60" s="214">
        <v>2.5</v>
      </c>
      <c r="BB60" s="215">
        <v>0.2</v>
      </c>
      <c r="BC60" s="216" t="s">
        <v>1039</v>
      </c>
      <c r="BD60" s="208" t="s">
        <v>163</v>
      </c>
      <c r="BE60" s="217" t="s">
        <v>163</v>
      </c>
      <c r="BF60" s="218" t="s">
        <v>163</v>
      </c>
      <c r="BG60" s="219">
        <v>2024.0159000000001</v>
      </c>
      <c r="BH60" s="220" t="s">
        <v>23</v>
      </c>
      <c r="BI60" s="220">
        <v>2.5</v>
      </c>
      <c r="BJ60" s="220" t="s">
        <v>320</v>
      </c>
      <c r="BK60" s="209">
        <v>2.5</v>
      </c>
      <c r="BL60" s="221" t="s">
        <v>346</v>
      </c>
      <c r="BM60" s="163" t="s">
        <v>1665</v>
      </c>
      <c r="BN60" s="163" t="s">
        <v>1599</v>
      </c>
      <c r="BO60" s="163" t="s">
        <v>1600</v>
      </c>
      <c r="BP60" s="163" t="s">
        <v>951</v>
      </c>
      <c r="BQ60" s="163" t="s">
        <v>1653</v>
      </c>
      <c r="BR60" s="163" t="s">
        <v>354</v>
      </c>
      <c r="BS60" s="163" t="s">
        <v>784</v>
      </c>
      <c r="BT60" s="163" t="s">
        <v>785</v>
      </c>
      <c r="BU60" s="163" t="s">
        <v>786</v>
      </c>
      <c r="BV60" s="163" t="s">
        <v>787</v>
      </c>
      <c r="BW60" s="163" t="s">
        <v>788</v>
      </c>
      <c r="BX60" s="163" t="s">
        <v>789</v>
      </c>
      <c r="BY60" s="163" t="s">
        <v>790</v>
      </c>
      <c r="BZ60" s="163" t="s">
        <v>791</v>
      </c>
      <c r="CA60" s="163"/>
      <c r="CB60" s="163"/>
      <c r="CC60" s="163"/>
      <c r="CD60" s="681"/>
      <c r="CE60" s="11" t="s">
        <v>2100</v>
      </c>
      <c r="CH60" s="11">
        <f t="shared" si="1"/>
        <v>8</v>
      </c>
    </row>
    <row r="61" spans="1:86" s="443" customFormat="1" ht="26.4" x14ac:dyDescent="0.25">
      <c r="A61" s="411"/>
      <c r="B61" s="412">
        <v>416</v>
      </c>
      <c r="C61" s="444" t="s">
        <v>1431</v>
      </c>
      <c r="D61" s="415">
        <v>1</v>
      </c>
      <c r="E61" s="416"/>
      <c r="F61" s="416"/>
      <c r="G61" s="416"/>
      <c r="H61" s="416"/>
      <c r="I61" s="417"/>
      <c r="J61" s="417" t="s">
        <v>1405</v>
      </c>
      <c r="K61" s="417" t="s">
        <v>1753</v>
      </c>
      <c r="L61" s="418">
        <v>0.1</v>
      </c>
      <c r="M61" s="418">
        <v>0.1</v>
      </c>
      <c r="N61" s="418">
        <v>0.1</v>
      </c>
      <c r="O61" s="418">
        <v>0.1</v>
      </c>
      <c r="P61" s="418">
        <v>0</v>
      </c>
      <c r="Q61" s="419">
        <v>0</v>
      </c>
      <c r="R61" s="420" t="s">
        <v>901</v>
      </c>
      <c r="S61" s="421" t="s">
        <v>2063</v>
      </c>
      <c r="T61" s="422"/>
      <c r="U61" s="423"/>
      <c r="V61" s="424"/>
      <c r="W61" s="424"/>
      <c r="X61" s="424"/>
      <c r="Y61" s="424"/>
      <c r="Z61" s="421" t="s">
        <v>2063</v>
      </c>
      <c r="AA61" s="425"/>
      <c r="AB61" s="425"/>
      <c r="AC61" s="423"/>
      <c r="AD61" s="424"/>
      <c r="AE61" s="424"/>
      <c r="AF61" s="424"/>
      <c r="AG61" s="424"/>
      <c r="AH61" s="424"/>
      <c r="AI61" s="424"/>
      <c r="AJ61" s="426" t="s">
        <v>163</v>
      </c>
      <c r="AK61" s="423" t="s">
        <v>163</v>
      </c>
      <c r="AL61" s="427" t="s">
        <v>163</v>
      </c>
      <c r="AM61" s="428" t="s">
        <v>163</v>
      </c>
      <c r="AN61" s="421" t="s">
        <v>163</v>
      </c>
      <c r="AO61" s="422" t="s">
        <v>163</v>
      </c>
      <c r="AP61" s="429" t="s">
        <v>163</v>
      </c>
      <c r="AQ61" s="423" t="s">
        <v>163</v>
      </c>
      <c r="AR61" s="430"/>
      <c r="AS61" s="430" t="s">
        <v>1827</v>
      </c>
      <c r="AT61" s="431">
        <v>1</v>
      </c>
      <c r="AU61" s="432" t="s">
        <v>150</v>
      </c>
      <c r="AV61" s="414" t="s">
        <v>163</v>
      </c>
      <c r="AW61" s="414" t="s">
        <v>163</v>
      </c>
      <c r="AX61" s="414" t="s">
        <v>163</v>
      </c>
      <c r="AY61" s="414" t="s">
        <v>163</v>
      </c>
      <c r="AZ61" s="414" t="s">
        <v>163</v>
      </c>
      <c r="BA61" s="433">
        <v>0.1</v>
      </c>
      <c r="BB61" s="434" t="s">
        <v>163</v>
      </c>
      <c r="BC61" s="435" t="s">
        <v>163</v>
      </c>
      <c r="BD61" s="427" t="s">
        <v>163</v>
      </c>
      <c r="BE61" s="436" t="s">
        <v>163</v>
      </c>
      <c r="BF61" s="437" t="s">
        <v>163</v>
      </c>
      <c r="BG61" s="438" t="s">
        <v>163</v>
      </c>
      <c r="BH61" s="439" t="s">
        <v>163</v>
      </c>
      <c r="BI61" s="439" t="s">
        <v>163</v>
      </c>
      <c r="BJ61" s="439" t="s">
        <v>163</v>
      </c>
      <c r="BK61" s="428" t="s">
        <v>163</v>
      </c>
      <c r="BL61" s="440" t="s">
        <v>163</v>
      </c>
      <c r="BM61" s="442"/>
      <c r="BN61" s="442"/>
      <c r="BO61" s="442"/>
      <c r="BP61" s="442"/>
      <c r="BQ61" s="442"/>
      <c r="BR61" s="442" t="s">
        <v>354</v>
      </c>
      <c r="BS61" s="442"/>
      <c r="BT61" s="442"/>
      <c r="BU61" s="442"/>
      <c r="BV61" s="442"/>
      <c r="BW61" s="442"/>
      <c r="BX61" s="442"/>
      <c r="BY61" s="442"/>
      <c r="BZ61" s="442"/>
      <c r="CA61" s="442"/>
      <c r="CB61" s="442"/>
      <c r="CC61" s="442"/>
      <c r="CD61" s="685"/>
      <c r="CH61" s="443">
        <f t="shared" si="1"/>
        <v>0</v>
      </c>
    </row>
    <row r="62" spans="1:86" x14ac:dyDescent="0.25">
      <c r="A62" s="192" t="s">
        <v>82</v>
      </c>
      <c r="B62" s="193">
        <v>417</v>
      </c>
      <c r="C62" s="343" t="s">
        <v>2</v>
      </c>
      <c r="D62" s="196">
        <v>2.5</v>
      </c>
      <c r="E62" s="197" t="s">
        <v>1915</v>
      </c>
      <c r="F62" s="197"/>
      <c r="G62" s="197"/>
      <c r="H62" s="197" t="s">
        <v>1976</v>
      </c>
      <c r="I62" s="198" t="s">
        <v>1686</v>
      </c>
      <c r="J62" s="198" t="s">
        <v>1098</v>
      </c>
      <c r="K62" s="198" t="s">
        <v>651</v>
      </c>
      <c r="L62" s="199">
        <v>0.25</v>
      </c>
      <c r="M62" s="199">
        <v>0.25</v>
      </c>
      <c r="N62" s="199">
        <v>0.25</v>
      </c>
      <c r="O62" s="199">
        <v>0.25</v>
      </c>
      <c r="P62" s="199">
        <v>0.25</v>
      </c>
      <c r="Q62" s="200">
        <v>0</v>
      </c>
      <c r="R62" s="201" t="s">
        <v>901</v>
      </c>
      <c r="S62" s="202" t="s">
        <v>1396</v>
      </c>
      <c r="T62" s="203">
        <v>2</v>
      </c>
      <c r="U62" s="204"/>
      <c r="V62" s="205"/>
      <c r="W62" s="205"/>
      <c r="X62" s="205"/>
      <c r="Y62" s="205"/>
      <c r="Z62" s="202" t="s">
        <v>217</v>
      </c>
      <c r="AA62" s="206" t="s">
        <v>176</v>
      </c>
      <c r="AB62" s="206" t="s">
        <v>186</v>
      </c>
      <c r="AC62" s="204">
        <v>1</v>
      </c>
      <c r="AD62" s="205"/>
      <c r="AE62" s="205"/>
      <c r="AF62" s="205"/>
      <c r="AG62" s="205"/>
      <c r="AH62" s="205"/>
      <c r="AI62" s="205"/>
      <c r="AJ62" s="207" t="s">
        <v>163</v>
      </c>
      <c r="AK62" s="204" t="s">
        <v>163</v>
      </c>
      <c r="AL62" s="208" t="s">
        <v>575</v>
      </c>
      <c r="AM62" s="209">
        <v>2.5</v>
      </c>
      <c r="AN62" s="202" t="s">
        <v>1256</v>
      </c>
      <c r="AO62" s="203">
        <v>2.5</v>
      </c>
      <c r="AP62" s="210" t="s">
        <v>23</v>
      </c>
      <c r="AQ62" s="204" t="s">
        <v>163</v>
      </c>
      <c r="AR62" s="211" t="s">
        <v>120</v>
      </c>
      <c r="AS62" s="211" t="s">
        <v>1828</v>
      </c>
      <c r="AT62" s="212">
        <f>L62*10</f>
        <v>2.5</v>
      </c>
      <c r="AU62" s="213" t="s">
        <v>150</v>
      </c>
      <c r="AV62" s="195" t="s">
        <v>1300</v>
      </c>
      <c r="AW62" s="195">
        <v>2.5</v>
      </c>
      <c r="AX62" s="195">
        <v>0</v>
      </c>
      <c r="AY62" s="195">
        <v>0</v>
      </c>
      <c r="AZ62" s="195">
        <v>0</v>
      </c>
      <c r="BA62" s="214">
        <v>2.5</v>
      </c>
      <c r="BB62" s="215">
        <v>0.2</v>
      </c>
      <c r="BC62" s="216" t="s">
        <v>1007</v>
      </c>
      <c r="BD62" s="208" t="s">
        <v>163</v>
      </c>
      <c r="BE62" s="217" t="s">
        <v>163</v>
      </c>
      <c r="BF62" s="218" t="s">
        <v>163</v>
      </c>
      <c r="BG62" s="219">
        <v>2024.0172</v>
      </c>
      <c r="BH62" s="220" t="s">
        <v>23</v>
      </c>
      <c r="BI62" s="220">
        <v>2.5</v>
      </c>
      <c r="BJ62" s="220" t="s">
        <v>320</v>
      </c>
      <c r="BK62" s="209">
        <v>2.5</v>
      </c>
      <c r="BL62" s="221" t="s">
        <v>346</v>
      </c>
      <c r="BM62" s="163" t="s">
        <v>103</v>
      </c>
      <c r="BN62" s="163" t="s">
        <v>1597</v>
      </c>
      <c r="BO62" s="163" t="s">
        <v>1598</v>
      </c>
      <c r="BP62" s="163" t="s">
        <v>952</v>
      </c>
      <c r="BQ62" s="163" t="s">
        <v>1651</v>
      </c>
      <c r="BR62" s="163" t="s">
        <v>1641</v>
      </c>
      <c r="BS62" s="163" t="s">
        <v>792</v>
      </c>
      <c r="BT62" s="163" t="s">
        <v>793</v>
      </c>
      <c r="BU62" s="163" t="s">
        <v>566</v>
      </c>
      <c r="BV62" s="163" t="s">
        <v>794</v>
      </c>
      <c r="BW62" s="163" t="s">
        <v>795</v>
      </c>
      <c r="BX62" s="163"/>
      <c r="BY62" s="163"/>
      <c r="BZ62" s="163"/>
      <c r="CA62" s="163"/>
      <c r="CB62" s="163"/>
      <c r="CC62" s="163"/>
      <c r="CD62" s="681"/>
      <c r="CE62" s="11" t="s">
        <v>2101</v>
      </c>
      <c r="CH62" s="11">
        <f t="shared" si="1"/>
        <v>5</v>
      </c>
    </row>
    <row r="63" spans="1:86" s="443" customFormat="1" x14ac:dyDescent="0.25">
      <c r="A63" s="411" t="s">
        <v>83</v>
      </c>
      <c r="B63" s="412">
        <v>418</v>
      </c>
      <c r="C63" s="444" t="s">
        <v>1200</v>
      </c>
      <c r="D63" s="415">
        <v>1.5</v>
      </c>
      <c r="E63" s="416"/>
      <c r="F63" s="416"/>
      <c r="G63" s="416"/>
      <c r="H63" s="416"/>
      <c r="I63" s="417"/>
      <c r="J63" s="417" t="s">
        <v>1754</v>
      </c>
      <c r="K63" s="417" t="s">
        <v>1753</v>
      </c>
      <c r="L63" s="418"/>
      <c r="M63" s="418"/>
      <c r="N63" s="418"/>
      <c r="O63" s="418"/>
      <c r="P63" s="418"/>
      <c r="Q63" s="419"/>
      <c r="R63" s="420" t="s">
        <v>901</v>
      </c>
      <c r="S63" s="421" t="s">
        <v>2063</v>
      </c>
      <c r="T63" s="422"/>
      <c r="U63" s="423"/>
      <c r="V63" s="424"/>
      <c r="W63" s="424"/>
      <c r="X63" s="424"/>
      <c r="Y63" s="424"/>
      <c r="Z63" s="421" t="s">
        <v>2063</v>
      </c>
      <c r="AA63" s="425"/>
      <c r="AB63" s="425"/>
      <c r="AC63" s="423"/>
      <c r="AD63" s="424"/>
      <c r="AE63" s="424"/>
      <c r="AF63" s="424"/>
      <c r="AG63" s="424"/>
      <c r="AH63" s="424"/>
      <c r="AI63" s="424"/>
      <c r="AJ63" s="426" t="s">
        <v>163</v>
      </c>
      <c r="AK63" s="423" t="s">
        <v>163</v>
      </c>
      <c r="AL63" s="427"/>
      <c r="AM63" s="428"/>
      <c r="AN63" s="445"/>
      <c r="AO63" s="422"/>
      <c r="AP63" s="429"/>
      <c r="AQ63" s="423" t="s">
        <v>163</v>
      </c>
      <c r="AR63" s="430"/>
      <c r="AS63" s="430" t="s">
        <v>1829</v>
      </c>
      <c r="AT63" s="431">
        <v>1.5</v>
      </c>
      <c r="AU63" s="432" t="s">
        <v>150</v>
      </c>
      <c r="AV63" s="414" t="s">
        <v>163</v>
      </c>
      <c r="AW63" s="414" t="s">
        <v>163</v>
      </c>
      <c r="AX63" s="414" t="s">
        <v>163</v>
      </c>
      <c r="AY63" s="414" t="s">
        <v>163</v>
      </c>
      <c r="AZ63" s="414" t="s">
        <v>163</v>
      </c>
      <c r="BA63" s="433"/>
      <c r="BB63" s="434" t="s">
        <v>163</v>
      </c>
      <c r="BC63" s="435" t="s">
        <v>163</v>
      </c>
      <c r="BD63" s="427" t="s">
        <v>163</v>
      </c>
      <c r="BE63" s="436" t="s">
        <v>163</v>
      </c>
      <c r="BF63" s="437" t="s">
        <v>163</v>
      </c>
      <c r="BG63" s="446">
        <v>2024.0228999999999</v>
      </c>
      <c r="BH63" s="436" t="s">
        <v>1406</v>
      </c>
      <c r="BI63" s="439">
        <v>1.5</v>
      </c>
      <c r="BJ63" s="439" t="s">
        <v>320</v>
      </c>
      <c r="BK63" s="439">
        <v>1.5</v>
      </c>
      <c r="BL63" s="440" t="s">
        <v>321</v>
      </c>
      <c r="BM63" s="441"/>
      <c r="BN63" s="441"/>
      <c r="BO63" s="441"/>
      <c r="BP63" s="441"/>
      <c r="BQ63" s="441"/>
      <c r="BR63" s="441" t="s">
        <v>354</v>
      </c>
      <c r="BS63" s="442"/>
      <c r="BT63" s="442"/>
      <c r="BU63" s="442"/>
      <c r="BV63" s="442"/>
      <c r="BW63" s="442"/>
      <c r="BX63" s="442"/>
      <c r="BY63" s="442"/>
      <c r="BZ63" s="442"/>
      <c r="CA63" s="442"/>
      <c r="CB63" s="442"/>
      <c r="CC63" s="442"/>
      <c r="CD63" s="685"/>
      <c r="CH63" s="443">
        <f t="shared" si="1"/>
        <v>0</v>
      </c>
    </row>
    <row r="64" spans="1:86" x14ac:dyDescent="0.25">
      <c r="A64" s="192" t="s">
        <v>84</v>
      </c>
      <c r="B64" s="193">
        <v>419</v>
      </c>
      <c r="C64" s="343" t="s">
        <v>12</v>
      </c>
      <c r="D64" s="196">
        <v>1.5</v>
      </c>
      <c r="E64" s="197" t="s">
        <v>1917</v>
      </c>
      <c r="F64" s="197"/>
      <c r="G64" s="197"/>
      <c r="H64" s="197" t="s">
        <v>1977</v>
      </c>
      <c r="I64" s="198" t="s">
        <v>1687</v>
      </c>
      <c r="J64" s="198" t="s">
        <v>1177</v>
      </c>
      <c r="K64" s="198" t="s">
        <v>677</v>
      </c>
      <c r="L64" s="199">
        <v>0.15</v>
      </c>
      <c r="M64" s="199">
        <v>0</v>
      </c>
      <c r="N64" s="199">
        <v>0.15</v>
      </c>
      <c r="O64" s="199">
        <v>0</v>
      </c>
      <c r="P64" s="199">
        <v>0</v>
      </c>
      <c r="Q64" s="200">
        <v>0</v>
      </c>
      <c r="R64" s="201" t="s">
        <v>901</v>
      </c>
      <c r="S64" s="202" t="s">
        <v>1397</v>
      </c>
      <c r="T64" s="203">
        <v>1.5</v>
      </c>
      <c r="U64" s="204"/>
      <c r="V64" s="205"/>
      <c r="W64" s="205"/>
      <c r="X64" s="205"/>
      <c r="Y64" s="205"/>
      <c r="Z64" s="202" t="s">
        <v>2063</v>
      </c>
      <c r="AA64" s="206"/>
      <c r="AB64" s="206"/>
      <c r="AC64" s="204"/>
      <c r="AD64" s="205"/>
      <c r="AE64" s="205"/>
      <c r="AF64" s="205"/>
      <c r="AG64" s="205"/>
      <c r="AH64" s="205"/>
      <c r="AI64" s="205"/>
      <c r="AJ64" s="207" t="s">
        <v>163</v>
      </c>
      <c r="AK64" s="204" t="s">
        <v>163</v>
      </c>
      <c r="AL64" s="208" t="s">
        <v>573</v>
      </c>
      <c r="AM64" s="209">
        <v>1.5</v>
      </c>
      <c r="AN64" s="202" t="s">
        <v>1257</v>
      </c>
      <c r="AO64" s="203">
        <v>1.5</v>
      </c>
      <c r="AP64" s="210" t="s">
        <v>23</v>
      </c>
      <c r="AQ64" s="204" t="s">
        <v>163</v>
      </c>
      <c r="AR64" s="211" t="s">
        <v>131</v>
      </c>
      <c r="AS64" s="211" t="s">
        <v>1858</v>
      </c>
      <c r="AT64" s="212">
        <f>L64*10</f>
        <v>1.5</v>
      </c>
      <c r="AU64" s="213" t="s">
        <v>150</v>
      </c>
      <c r="AV64" s="195" t="s">
        <v>1301</v>
      </c>
      <c r="AW64" s="195">
        <v>1.5</v>
      </c>
      <c r="AX64" s="195">
        <v>0</v>
      </c>
      <c r="AY64" s="195">
        <v>0</v>
      </c>
      <c r="AZ64" s="195">
        <v>0</v>
      </c>
      <c r="BA64" s="214">
        <v>1.5</v>
      </c>
      <c r="BB64" s="215">
        <v>0.1</v>
      </c>
      <c r="BC64" s="216" t="s">
        <v>1040</v>
      </c>
      <c r="BD64" s="208" t="s">
        <v>163</v>
      </c>
      <c r="BE64" s="217" t="s">
        <v>163</v>
      </c>
      <c r="BF64" s="218" t="s">
        <v>163</v>
      </c>
      <c r="BG64" s="350">
        <v>2024.0192999999999</v>
      </c>
      <c r="BH64" s="217" t="s">
        <v>23</v>
      </c>
      <c r="BI64" s="220">
        <v>1.5</v>
      </c>
      <c r="BJ64" s="220" t="s">
        <v>320</v>
      </c>
      <c r="BK64" s="220">
        <v>1.5</v>
      </c>
      <c r="BL64" s="221" t="s">
        <v>320</v>
      </c>
      <c r="BM64" s="191" t="s">
        <v>104</v>
      </c>
      <c r="BN64" s="191" t="s">
        <v>1595</v>
      </c>
      <c r="BO64" s="191" t="s">
        <v>1596</v>
      </c>
      <c r="BP64" s="191" t="s">
        <v>1556</v>
      </c>
      <c r="BQ64" s="191" t="s">
        <v>1653</v>
      </c>
      <c r="BR64" s="191" t="s">
        <v>354</v>
      </c>
      <c r="BS64" s="163" t="s">
        <v>796</v>
      </c>
      <c r="BT64" s="163" t="s">
        <v>797</v>
      </c>
      <c r="BU64" s="163" t="s">
        <v>798</v>
      </c>
      <c r="BV64" s="163" t="s">
        <v>799</v>
      </c>
      <c r="BW64" s="163" t="s">
        <v>800</v>
      </c>
      <c r="BX64" s="163"/>
      <c r="BY64" s="163"/>
      <c r="BZ64" s="163"/>
      <c r="CA64" s="163"/>
      <c r="CB64" s="163"/>
      <c r="CC64" s="163"/>
      <c r="CD64" s="681"/>
      <c r="CE64" s="11" t="s">
        <v>2091</v>
      </c>
      <c r="CH64" s="11">
        <f t="shared" si="1"/>
        <v>5</v>
      </c>
    </row>
    <row r="65" spans="1:86" s="487" customFormat="1" x14ac:dyDescent="0.25">
      <c r="A65" s="488" t="s">
        <v>85</v>
      </c>
      <c r="B65" s="489">
        <v>420</v>
      </c>
      <c r="C65" s="597" t="s">
        <v>10</v>
      </c>
      <c r="D65" s="492">
        <v>3</v>
      </c>
      <c r="E65" s="493" t="s">
        <v>1918</v>
      </c>
      <c r="F65" s="493"/>
      <c r="G65" s="493"/>
      <c r="H65" s="493" t="s">
        <v>1978</v>
      </c>
      <c r="I65" s="494" t="s">
        <v>1772</v>
      </c>
      <c r="J65" s="494" t="s">
        <v>1152</v>
      </c>
      <c r="K65" s="494" t="s">
        <v>650</v>
      </c>
      <c r="L65" s="495">
        <v>0.3</v>
      </c>
      <c r="M65" s="495">
        <v>0</v>
      </c>
      <c r="N65" s="495">
        <v>0.3</v>
      </c>
      <c r="O65" s="495">
        <v>0.3</v>
      </c>
      <c r="P65" s="495">
        <v>0</v>
      </c>
      <c r="Q65" s="496">
        <v>0</v>
      </c>
      <c r="R65" s="497" t="s">
        <v>901</v>
      </c>
      <c r="S65" s="498" t="s">
        <v>1398</v>
      </c>
      <c r="T65" s="499">
        <v>2.5</v>
      </c>
      <c r="U65" s="500"/>
      <c r="V65" s="501"/>
      <c r="W65" s="501"/>
      <c r="X65" s="501"/>
      <c r="Y65" s="501"/>
      <c r="Z65" s="498" t="s">
        <v>218</v>
      </c>
      <c r="AA65" s="502" t="s">
        <v>215</v>
      </c>
      <c r="AB65" s="502" t="s">
        <v>186</v>
      </c>
      <c r="AC65" s="500">
        <v>2</v>
      </c>
      <c r="AD65" s="501"/>
      <c r="AE65" s="501"/>
      <c r="AF65" s="501"/>
      <c r="AG65" s="501"/>
      <c r="AH65" s="501"/>
      <c r="AI65" s="501"/>
      <c r="AJ65" s="503" t="s">
        <v>163</v>
      </c>
      <c r="AK65" s="500" t="s">
        <v>163</v>
      </c>
      <c r="AL65" s="504" t="s">
        <v>574</v>
      </c>
      <c r="AM65" s="505">
        <v>2</v>
      </c>
      <c r="AN65" s="498" t="s">
        <v>1258</v>
      </c>
      <c r="AO65" s="499">
        <v>2.5</v>
      </c>
      <c r="AP65" s="506" t="s">
        <v>23</v>
      </c>
      <c r="AQ65" s="500" t="s">
        <v>163</v>
      </c>
      <c r="AR65" s="507" t="s">
        <v>114</v>
      </c>
      <c r="AS65" s="507" t="s">
        <v>1830</v>
      </c>
      <c r="AT65" s="508">
        <f>L65*10</f>
        <v>3</v>
      </c>
      <c r="AU65" s="509" t="s">
        <v>158</v>
      </c>
      <c r="AV65" s="491" t="s">
        <v>1302</v>
      </c>
      <c r="AW65" s="491">
        <v>3</v>
      </c>
      <c r="AX65" s="491">
        <v>0</v>
      </c>
      <c r="AY65" s="491">
        <v>0</v>
      </c>
      <c r="AZ65" s="491">
        <v>0</v>
      </c>
      <c r="BA65" s="510">
        <v>2</v>
      </c>
      <c r="BB65" s="511">
        <v>0.2</v>
      </c>
      <c r="BC65" s="512" t="s">
        <v>1041</v>
      </c>
      <c r="BD65" s="504" t="s">
        <v>968</v>
      </c>
      <c r="BE65" s="513">
        <v>0</v>
      </c>
      <c r="BF65" s="514">
        <v>2</v>
      </c>
      <c r="BG65" s="515">
        <v>2024.0164</v>
      </c>
      <c r="BH65" s="516" t="s">
        <v>23</v>
      </c>
      <c r="BI65" s="516">
        <v>3</v>
      </c>
      <c r="BJ65" s="516" t="s">
        <v>320</v>
      </c>
      <c r="BK65" s="505">
        <v>3</v>
      </c>
      <c r="BL65" s="517" t="s">
        <v>346</v>
      </c>
      <c r="BM65" s="486" t="s">
        <v>1120</v>
      </c>
      <c r="BN65" s="486" t="s">
        <v>1593</v>
      </c>
      <c r="BO65" s="486" t="s">
        <v>1594</v>
      </c>
      <c r="BP65" s="486" t="s">
        <v>953</v>
      </c>
      <c r="BQ65" s="486" t="s">
        <v>1653</v>
      </c>
      <c r="BR65" s="486" t="s">
        <v>354</v>
      </c>
      <c r="BS65" s="486" t="s">
        <v>801</v>
      </c>
      <c r="BT65" s="486" t="s">
        <v>802</v>
      </c>
      <c r="BU65" s="486" t="s">
        <v>803</v>
      </c>
      <c r="BV65" s="486" t="s">
        <v>804</v>
      </c>
      <c r="BW65" s="486" t="s">
        <v>805</v>
      </c>
      <c r="BX65" s="486" t="s">
        <v>806</v>
      </c>
      <c r="BY65" s="486" t="s">
        <v>807</v>
      </c>
      <c r="BZ65" s="486"/>
      <c r="CA65" s="486"/>
      <c r="CB65" s="486"/>
      <c r="CC65" s="486"/>
      <c r="CD65" s="682"/>
      <c r="CE65" s="487" t="s">
        <v>2091</v>
      </c>
      <c r="CH65" s="487">
        <f t="shared" si="1"/>
        <v>7</v>
      </c>
    </row>
    <row r="66" spans="1:86" x14ac:dyDescent="0.25">
      <c r="A66" s="192" t="s">
        <v>86</v>
      </c>
      <c r="B66" s="193">
        <v>421</v>
      </c>
      <c r="C66" s="343" t="s">
        <v>11</v>
      </c>
      <c r="D66" s="196">
        <v>2</v>
      </c>
      <c r="E66" s="197" t="s">
        <v>1917</v>
      </c>
      <c r="F66" s="197"/>
      <c r="G66" s="197"/>
      <c r="H66" s="197" t="s">
        <v>1979</v>
      </c>
      <c r="I66" s="198" t="s">
        <v>1688</v>
      </c>
      <c r="J66" s="198" t="s">
        <v>1153</v>
      </c>
      <c r="K66" s="198" t="s">
        <v>649</v>
      </c>
      <c r="L66" s="199">
        <v>0.2</v>
      </c>
      <c r="M66" s="199">
        <v>0.2</v>
      </c>
      <c r="N66" s="199">
        <v>0.2</v>
      </c>
      <c r="O66" s="199">
        <v>0.2</v>
      </c>
      <c r="P66" s="199">
        <v>0</v>
      </c>
      <c r="Q66" s="200">
        <v>0</v>
      </c>
      <c r="R66" s="201" t="s">
        <v>901</v>
      </c>
      <c r="S66" s="202" t="s">
        <v>1353</v>
      </c>
      <c r="T66" s="203">
        <v>2</v>
      </c>
      <c r="U66" s="204"/>
      <c r="V66" s="205"/>
      <c r="W66" s="205"/>
      <c r="X66" s="205"/>
      <c r="Y66" s="205"/>
      <c r="Z66" s="202" t="s">
        <v>219</v>
      </c>
      <c r="AA66" s="206" t="s">
        <v>220</v>
      </c>
      <c r="AB66" s="206" t="s">
        <v>186</v>
      </c>
      <c r="AC66" s="204">
        <v>1</v>
      </c>
      <c r="AD66" s="205"/>
      <c r="AE66" s="205"/>
      <c r="AF66" s="205"/>
      <c r="AG66" s="205"/>
      <c r="AH66" s="205"/>
      <c r="AI66" s="205"/>
      <c r="AJ66" s="207" t="s">
        <v>163</v>
      </c>
      <c r="AK66" s="204" t="s">
        <v>163</v>
      </c>
      <c r="AL66" s="208" t="s">
        <v>574</v>
      </c>
      <c r="AM66" s="209">
        <v>2</v>
      </c>
      <c r="AN66" s="223" t="s">
        <v>1259</v>
      </c>
      <c r="AO66" s="203">
        <v>2</v>
      </c>
      <c r="AP66" s="210" t="s">
        <v>23</v>
      </c>
      <c r="AQ66" s="204" t="s">
        <v>163</v>
      </c>
      <c r="AR66" s="211" t="s">
        <v>116</v>
      </c>
      <c r="AS66" s="211" t="s">
        <v>1831</v>
      </c>
      <c r="AT66" s="212">
        <v>2</v>
      </c>
      <c r="AU66" s="213" t="s">
        <v>150</v>
      </c>
      <c r="AV66" s="195" t="s">
        <v>1303</v>
      </c>
      <c r="AW66" s="195">
        <v>2</v>
      </c>
      <c r="AX66" s="195">
        <v>0</v>
      </c>
      <c r="AY66" s="195">
        <v>0</v>
      </c>
      <c r="AZ66" s="195">
        <v>0</v>
      </c>
      <c r="BA66" s="214">
        <v>2</v>
      </c>
      <c r="BB66" s="215">
        <v>0.2</v>
      </c>
      <c r="BC66" s="216" t="s">
        <v>1042</v>
      </c>
      <c r="BD66" s="208" t="s">
        <v>972</v>
      </c>
      <c r="BE66" s="217">
        <v>0</v>
      </c>
      <c r="BF66" s="218">
        <v>1.5</v>
      </c>
      <c r="BG66" s="219">
        <v>2024.0166999999999</v>
      </c>
      <c r="BH66" s="220" t="s">
        <v>23</v>
      </c>
      <c r="BI66" s="220">
        <v>2</v>
      </c>
      <c r="BJ66" s="220" t="s">
        <v>320</v>
      </c>
      <c r="BK66" s="209">
        <v>2</v>
      </c>
      <c r="BL66" s="221" t="s">
        <v>346</v>
      </c>
      <c r="BM66" s="163" t="s">
        <v>28</v>
      </c>
      <c r="BN66" s="163" t="s">
        <v>1591</v>
      </c>
      <c r="BO66" s="163" t="s">
        <v>1592</v>
      </c>
      <c r="BP66" s="163" t="s">
        <v>954</v>
      </c>
      <c r="BQ66" s="163" t="s">
        <v>1651</v>
      </c>
      <c r="BR66" s="163" t="s">
        <v>354</v>
      </c>
      <c r="BS66" s="163" t="s">
        <v>808</v>
      </c>
      <c r="BT66" s="163" t="s">
        <v>809</v>
      </c>
      <c r="BU66" s="163" t="s">
        <v>810</v>
      </c>
      <c r="BV66" s="163" t="s">
        <v>811</v>
      </c>
      <c r="BW66" s="163" t="s">
        <v>812</v>
      </c>
      <c r="BX66" s="163"/>
      <c r="BY66" s="163"/>
      <c r="BZ66" s="163"/>
      <c r="CA66" s="163"/>
      <c r="CB66" s="163"/>
      <c r="CC66" s="163"/>
      <c r="CD66" s="681"/>
      <c r="CE66" s="11" t="s">
        <v>2091</v>
      </c>
      <c r="CH66" s="11">
        <f t="shared" si="1"/>
        <v>5</v>
      </c>
    </row>
    <row r="67" spans="1:86" s="487" customFormat="1" x14ac:dyDescent="0.25">
      <c r="A67" s="488" t="s">
        <v>87</v>
      </c>
      <c r="B67" s="489">
        <v>422</v>
      </c>
      <c r="C67" s="597" t="s">
        <v>155</v>
      </c>
      <c r="D67" s="492">
        <v>2</v>
      </c>
      <c r="E67" s="493" t="s">
        <v>1917</v>
      </c>
      <c r="F67" s="493"/>
      <c r="G67" s="493"/>
      <c r="H67" s="493" t="s">
        <v>1980</v>
      </c>
      <c r="I67" s="494" t="s">
        <v>1689</v>
      </c>
      <c r="J67" s="494" t="s">
        <v>1099</v>
      </c>
      <c r="K67" s="494" t="s">
        <v>648</v>
      </c>
      <c r="L67" s="495">
        <v>0.2</v>
      </c>
      <c r="M67" s="495">
        <v>0.2</v>
      </c>
      <c r="N67" s="495">
        <v>0.2</v>
      </c>
      <c r="O67" s="495">
        <v>0.2</v>
      </c>
      <c r="P67" s="495">
        <v>0</v>
      </c>
      <c r="Q67" s="496">
        <v>0</v>
      </c>
      <c r="R67" s="497" t="s">
        <v>901</v>
      </c>
      <c r="S67" s="498" t="s">
        <v>1354</v>
      </c>
      <c r="T67" s="499">
        <v>2</v>
      </c>
      <c r="U67" s="500"/>
      <c r="V67" s="501"/>
      <c r="W67" s="501"/>
      <c r="X67" s="501"/>
      <c r="Y67" s="501"/>
      <c r="Z67" s="498" t="s">
        <v>221</v>
      </c>
      <c r="AA67" s="502" t="s">
        <v>220</v>
      </c>
      <c r="AB67" s="502" t="s">
        <v>186</v>
      </c>
      <c r="AC67" s="500">
        <v>1.5</v>
      </c>
      <c r="AD67" s="501"/>
      <c r="AE67" s="501"/>
      <c r="AF67" s="501"/>
      <c r="AG67" s="501"/>
      <c r="AH67" s="501"/>
      <c r="AI67" s="501"/>
      <c r="AJ67" s="503" t="s">
        <v>163</v>
      </c>
      <c r="AK67" s="500" t="s">
        <v>163</v>
      </c>
      <c r="AL67" s="504" t="s">
        <v>574</v>
      </c>
      <c r="AM67" s="505">
        <v>2</v>
      </c>
      <c r="AN67" s="498" t="s">
        <v>1260</v>
      </c>
      <c r="AO67" s="499">
        <v>2</v>
      </c>
      <c r="AP67" s="506" t="s">
        <v>23</v>
      </c>
      <c r="AQ67" s="500" t="s">
        <v>163</v>
      </c>
      <c r="AR67" s="507" t="s">
        <v>118</v>
      </c>
      <c r="AS67" s="507" t="s">
        <v>1832</v>
      </c>
      <c r="AT67" s="508">
        <f>L67*10</f>
        <v>2</v>
      </c>
      <c r="AU67" s="509" t="s">
        <v>158</v>
      </c>
      <c r="AV67" s="491" t="s">
        <v>1304</v>
      </c>
      <c r="AW67" s="491">
        <v>2</v>
      </c>
      <c r="AX67" s="491">
        <v>0</v>
      </c>
      <c r="AY67" s="491">
        <v>0</v>
      </c>
      <c r="AZ67" s="491">
        <v>0</v>
      </c>
      <c r="BA67" s="510">
        <v>2</v>
      </c>
      <c r="BB67" s="511">
        <v>0.2</v>
      </c>
      <c r="BC67" s="512" t="s">
        <v>1043</v>
      </c>
      <c r="BD67" s="504" t="s">
        <v>970</v>
      </c>
      <c r="BE67" s="513">
        <v>0</v>
      </c>
      <c r="BF67" s="514">
        <v>1.5</v>
      </c>
      <c r="BG67" s="515">
        <v>2024.0170000000001</v>
      </c>
      <c r="BH67" s="516" t="s">
        <v>23</v>
      </c>
      <c r="BI67" s="516">
        <v>2</v>
      </c>
      <c r="BJ67" s="516" t="s">
        <v>320</v>
      </c>
      <c r="BK67" s="505">
        <v>2</v>
      </c>
      <c r="BL67" s="517" t="s">
        <v>346</v>
      </c>
      <c r="BM67" s="486" t="s">
        <v>29</v>
      </c>
      <c r="BN67" s="486" t="s">
        <v>1589</v>
      </c>
      <c r="BO67" s="486" t="s">
        <v>1590</v>
      </c>
      <c r="BP67" s="486" t="s">
        <v>955</v>
      </c>
      <c r="BQ67" s="486" t="s">
        <v>1653</v>
      </c>
      <c r="BR67" s="486" t="s">
        <v>354</v>
      </c>
      <c r="BS67" s="486" t="s">
        <v>813</v>
      </c>
      <c r="BT67" s="486" t="s">
        <v>814</v>
      </c>
      <c r="BU67" s="486" t="s">
        <v>815</v>
      </c>
      <c r="BV67" s="486" t="s">
        <v>816</v>
      </c>
      <c r="BW67" s="486" t="s">
        <v>817</v>
      </c>
      <c r="BX67" s="486" t="s">
        <v>818</v>
      </c>
      <c r="BY67" s="486" t="s">
        <v>819</v>
      </c>
      <c r="BZ67" s="486"/>
      <c r="CA67" s="486"/>
      <c r="CB67" s="486"/>
      <c r="CC67" s="486"/>
      <c r="CD67" s="682"/>
      <c r="CE67" s="487" t="s">
        <v>2091</v>
      </c>
      <c r="CH67" s="487">
        <f t="shared" si="1"/>
        <v>7</v>
      </c>
    </row>
    <row r="68" spans="1:86" x14ac:dyDescent="0.25">
      <c r="A68" s="192" t="s">
        <v>1873</v>
      </c>
      <c r="B68" s="193"/>
      <c r="C68" s="343" t="s">
        <v>1876</v>
      </c>
      <c r="D68" s="196">
        <v>2</v>
      </c>
      <c r="E68" s="197" t="s">
        <v>1917</v>
      </c>
      <c r="F68" s="197"/>
      <c r="G68" s="197"/>
      <c r="H68" s="197" t="s">
        <v>2003</v>
      </c>
      <c r="I68" s="198" t="s">
        <v>1892</v>
      </c>
      <c r="J68" s="198"/>
      <c r="K68" s="198"/>
      <c r="L68" s="199">
        <v>0.2</v>
      </c>
      <c r="M68" s="199">
        <v>0</v>
      </c>
      <c r="N68" s="199">
        <v>0.2</v>
      </c>
      <c r="O68" s="199">
        <v>0.2</v>
      </c>
      <c r="P68" s="199">
        <v>0</v>
      </c>
      <c r="Q68" s="200">
        <v>0</v>
      </c>
      <c r="R68" s="201" t="s">
        <v>901</v>
      </c>
      <c r="S68" s="202" t="s">
        <v>2063</v>
      </c>
      <c r="T68" s="203"/>
      <c r="U68" s="204"/>
      <c r="V68" s="205"/>
      <c r="W68" s="205"/>
      <c r="X68" s="205"/>
      <c r="Y68" s="205"/>
      <c r="Z68" s="202" t="s">
        <v>2063</v>
      </c>
      <c r="AA68" s="206"/>
      <c r="AB68" s="206"/>
      <c r="AC68" s="204"/>
      <c r="AD68" s="205"/>
      <c r="AE68" s="205"/>
      <c r="AF68" s="205"/>
      <c r="AG68" s="205"/>
      <c r="AH68" s="205"/>
      <c r="AI68" s="205"/>
      <c r="AJ68" s="207" t="s">
        <v>163</v>
      </c>
      <c r="AK68" s="204" t="s">
        <v>163</v>
      </c>
      <c r="AL68" s="208" t="s">
        <v>574</v>
      </c>
      <c r="AM68" s="209">
        <v>2</v>
      </c>
      <c r="AN68" s="202" t="s">
        <v>2143</v>
      </c>
      <c r="AO68" s="203">
        <v>2</v>
      </c>
      <c r="AP68" s="210" t="s">
        <v>23</v>
      </c>
      <c r="AQ68" s="204" t="s">
        <v>163</v>
      </c>
      <c r="AR68" s="211"/>
      <c r="AS68" s="211" t="s">
        <v>1894</v>
      </c>
      <c r="AT68" s="212">
        <v>2</v>
      </c>
      <c r="AU68" s="213" t="s">
        <v>158</v>
      </c>
      <c r="AV68" s="195" t="s">
        <v>163</v>
      </c>
      <c r="AW68" s="195" t="s">
        <v>163</v>
      </c>
      <c r="AX68" s="195" t="s">
        <v>163</v>
      </c>
      <c r="AY68" s="195" t="s">
        <v>163</v>
      </c>
      <c r="AZ68" s="195" t="s">
        <v>163</v>
      </c>
      <c r="BA68" s="214"/>
      <c r="BB68" s="215" t="s">
        <v>163</v>
      </c>
      <c r="BC68" s="216" t="s">
        <v>163</v>
      </c>
      <c r="BD68" s="208" t="s">
        <v>163</v>
      </c>
      <c r="BE68" s="217" t="s">
        <v>163</v>
      </c>
      <c r="BF68" s="218" t="s">
        <v>163</v>
      </c>
      <c r="BG68" s="219">
        <v>2024.0187000000001</v>
      </c>
      <c r="BH68" s="220" t="s">
        <v>23</v>
      </c>
      <c r="BI68" s="220">
        <v>2</v>
      </c>
      <c r="BJ68" s="220" t="s">
        <v>320</v>
      </c>
      <c r="BK68" s="209">
        <v>2</v>
      </c>
      <c r="BL68" s="221" t="s">
        <v>321</v>
      </c>
      <c r="BM68" s="163" t="s">
        <v>1877</v>
      </c>
      <c r="BN68" s="163" t="s">
        <v>1910</v>
      </c>
      <c r="BO68" s="163" t="s">
        <v>1909</v>
      </c>
      <c r="BP68" s="163"/>
      <c r="BQ68" s="163" t="s">
        <v>1651</v>
      </c>
      <c r="BR68" s="163" t="s">
        <v>354</v>
      </c>
      <c r="BS68" s="163" t="s">
        <v>1878</v>
      </c>
      <c r="BT68" s="163" t="s">
        <v>1879</v>
      </c>
      <c r="BU68" s="163" t="s">
        <v>1880</v>
      </c>
      <c r="BV68" s="163" t="s">
        <v>817</v>
      </c>
      <c r="BW68" s="163" t="s">
        <v>1881</v>
      </c>
      <c r="BX68" s="163"/>
      <c r="BY68" s="163"/>
      <c r="BZ68" s="163"/>
      <c r="CA68" s="163"/>
      <c r="CB68" s="163"/>
      <c r="CC68" s="163"/>
      <c r="CD68" s="681"/>
      <c r="CE68" s="11" t="s">
        <v>2091</v>
      </c>
      <c r="CH68" s="11">
        <f t="shared" si="1"/>
        <v>5</v>
      </c>
    </row>
    <row r="69" spans="1:86" s="487" customFormat="1" x14ac:dyDescent="0.25">
      <c r="A69" s="488" t="s">
        <v>520</v>
      </c>
      <c r="B69" s="489">
        <v>423</v>
      </c>
      <c r="C69" s="597" t="s">
        <v>19</v>
      </c>
      <c r="D69" s="492">
        <v>2</v>
      </c>
      <c r="E69" s="493" t="s">
        <v>1917</v>
      </c>
      <c r="F69" s="493"/>
      <c r="G69" s="493"/>
      <c r="H69" s="493" t="s">
        <v>1981</v>
      </c>
      <c r="I69" s="494" t="s">
        <v>1771</v>
      </c>
      <c r="J69" s="494" t="s">
        <v>1154</v>
      </c>
      <c r="K69" s="494" t="s">
        <v>647</v>
      </c>
      <c r="L69" s="495">
        <v>0.2</v>
      </c>
      <c r="M69" s="495">
        <v>0</v>
      </c>
      <c r="N69" s="495">
        <v>0.2</v>
      </c>
      <c r="O69" s="495">
        <v>0.2</v>
      </c>
      <c r="P69" s="495">
        <v>0</v>
      </c>
      <c r="Q69" s="496">
        <v>0.2</v>
      </c>
      <c r="R69" s="497" t="s">
        <v>901</v>
      </c>
      <c r="S69" s="498" t="s">
        <v>1355</v>
      </c>
      <c r="T69" s="499"/>
      <c r="U69" s="500">
        <v>2</v>
      </c>
      <c r="V69" s="501"/>
      <c r="W69" s="501"/>
      <c r="X69" s="501"/>
      <c r="Y69" s="501"/>
      <c r="Z69" s="498" t="s">
        <v>222</v>
      </c>
      <c r="AA69" s="502" t="s">
        <v>176</v>
      </c>
      <c r="AB69" s="502" t="s">
        <v>182</v>
      </c>
      <c r="AC69" s="500">
        <v>1.5</v>
      </c>
      <c r="AD69" s="501"/>
      <c r="AE69" s="501"/>
      <c r="AF69" s="501"/>
      <c r="AG69" s="501"/>
      <c r="AH69" s="501"/>
      <c r="AI69" s="501"/>
      <c r="AJ69" s="503" t="s">
        <v>163</v>
      </c>
      <c r="AK69" s="500" t="s">
        <v>163</v>
      </c>
      <c r="AL69" s="504" t="s">
        <v>574</v>
      </c>
      <c r="AM69" s="505">
        <v>2</v>
      </c>
      <c r="AN69" s="498" t="s">
        <v>1261</v>
      </c>
      <c r="AO69" s="499">
        <v>2</v>
      </c>
      <c r="AP69" s="506" t="s">
        <v>23</v>
      </c>
      <c r="AQ69" s="500" t="s">
        <v>163</v>
      </c>
      <c r="AR69" s="507" t="s">
        <v>140</v>
      </c>
      <c r="AS69" s="507" t="s">
        <v>1833</v>
      </c>
      <c r="AT69" s="508">
        <f>L69*10</f>
        <v>2</v>
      </c>
      <c r="AU69" s="509" t="s">
        <v>158</v>
      </c>
      <c r="AV69" s="491" t="s">
        <v>1306</v>
      </c>
      <c r="AW69" s="491">
        <v>2</v>
      </c>
      <c r="AX69" s="491">
        <v>0</v>
      </c>
      <c r="AY69" s="491">
        <v>0</v>
      </c>
      <c r="AZ69" s="491">
        <v>2</v>
      </c>
      <c r="BA69" s="510">
        <v>2</v>
      </c>
      <c r="BB69" s="511">
        <v>0.2</v>
      </c>
      <c r="BC69" s="512" t="s">
        <v>1044</v>
      </c>
      <c r="BD69" s="504" t="s">
        <v>969</v>
      </c>
      <c r="BE69" s="513">
        <v>0</v>
      </c>
      <c r="BF69" s="514">
        <v>1.5</v>
      </c>
      <c r="BG69" s="515">
        <v>2024.0215000000001</v>
      </c>
      <c r="BH69" s="516" t="s">
        <v>23</v>
      </c>
      <c r="BI69" s="516">
        <v>2</v>
      </c>
      <c r="BJ69" s="516" t="s">
        <v>320</v>
      </c>
      <c r="BK69" s="505">
        <v>2</v>
      </c>
      <c r="BL69" s="517" t="s">
        <v>346</v>
      </c>
      <c r="BM69" s="485" t="s">
        <v>965</v>
      </c>
      <c r="BN69" s="485" t="s">
        <v>1587</v>
      </c>
      <c r="BO69" s="485" t="s">
        <v>1588</v>
      </c>
      <c r="BP69" s="485" t="s">
        <v>956</v>
      </c>
      <c r="BQ69" s="485" t="s">
        <v>1653</v>
      </c>
      <c r="BR69" s="485" t="s">
        <v>354</v>
      </c>
      <c r="BS69" s="486" t="s">
        <v>820</v>
      </c>
      <c r="BT69" s="486" t="s">
        <v>821</v>
      </c>
      <c r="BU69" s="486" t="s">
        <v>822</v>
      </c>
      <c r="BV69" s="486" t="s">
        <v>823</v>
      </c>
      <c r="BW69" s="486" t="s">
        <v>824</v>
      </c>
      <c r="BX69" s="486"/>
      <c r="BY69" s="486"/>
      <c r="BZ69" s="486"/>
      <c r="CA69" s="486"/>
      <c r="CB69" s="486"/>
      <c r="CC69" s="486"/>
      <c r="CD69" s="682"/>
      <c r="CE69" s="487" t="s">
        <v>2091</v>
      </c>
      <c r="CH69" s="487">
        <f t="shared" si="1"/>
        <v>5</v>
      </c>
    </row>
    <row r="70" spans="1:86" x14ac:dyDescent="0.25">
      <c r="A70" s="192" t="s">
        <v>88</v>
      </c>
      <c r="B70" s="193">
        <v>424</v>
      </c>
      <c r="C70" s="343" t="s">
        <v>156</v>
      </c>
      <c r="D70" s="196">
        <v>1.5</v>
      </c>
      <c r="E70" s="197" t="s">
        <v>1917</v>
      </c>
      <c r="F70" s="197"/>
      <c r="G70" s="197"/>
      <c r="H70" s="197" t="s">
        <v>2007</v>
      </c>
      <c r="I70" s="198" t="s">
        <v>1768</v>
      </c>
      <c r="J70" s="198" t="s">
        <v>1185</v>
      </c>
      <c r="K70" s="198" t="s">
        <v>641</v>
      </c>
      <c r="L70" s="199">
        <v>0.15</v>
      </c>
      <c r="M70" s="199">
        <v>0.15</v>
      </c>
      <c r="N70" s="199">
        <v>0.15</v>
      </c>
      <c r="O70" s="199">
        <v>0.15</v>
      </c>
      <c r="P70" s="199">
        <v>0</v>
      </c>
      <c r="Q70" s="200">
        <v>0</v>
      </c>
      <c r="R70" s="201" t="s">
        <v>901</v>
      </c>
      <c r="S70" s="202" t="s">
        <v>1399</v>
      </c>
      <c r="T70" s="203">
        <v>1.5</v>
      </c>
      <c r="U70" s="204"/>
      <c r="V70" s="205"/>
      <c r="W70" s="205"/>
      <c r="X70" s="205"/>
      <c r="Y70" s="205"/>
      <c r="Z70" s="202" t="s">
        <v>228</v>
      </c>
      <c r="AA70" s="206" t="s">
        <v>229</v>
      </c>
      <c r="AB70" s="206" t="s">
        <v>186</v>
      </c>
      <c r="AC70" s="204">
        <v>1</v>
      </c>
      <c r="AD70" s="205"/>
      <c r="AE70" s="205"/>
      <c r="AF70" s="205"/>
      <c r="AG70" s="205"/>
      <c r="AH70" s="205"/>
      <c r="AI70" s="205"/>
      <c r="AJ70" s="207" t="s">
        <v>163</v>
      </c>
      <c r="AK70" s="204" t="s">
        <v>163</v>
      </c>
      <c r="AL70" s="208" t="s">
        <v>573</v>
      </c>
      <c r="AM70" s="209">
        <v>1.5</v>
      </c>
      <c r="AN70" s="202" t="s">
        <v>1262</v>
      </c>
      <c r="AO70" s="203">
        <v>1.5</v>
      </c>
      <c r="AP70" s="351" t="s">
        <v>23</v>
      </c>
      <c r="AQ70" s="204" t="s">
        <v>163</v>
      </c>
      <c r="AR70" s="211" t="s">
        <v>160</v>
      </c>
      <c r="AS70" s="211" t="s">
        <v>1835</v>
      </c>
      <c r="AT70" s="212">
        <f>L70*10</f>
        <v>1.5</v>
      </c>
      <c r="AU70" s="213" t="s">
        <v>158</v>
      </c>
      <c r="AV70" s="195" t="s">
        <v>1305</v>
      </c>
      <c r="AW70" s="195">
        <v>1.5</v>
      </c>
      <c r="AX70" s="195">
        <v>0</v>
      </c>
      <c r="AY70" s="195">
        <v>0</v>
      </c>
      <c r="AZ70" s="195">
        <v>0</v>
      </c>
      <c r="BA70" s="214">
        <v>1.5</v>
      </c>
      <c r="BB70" s="215">
        <v>0.1</v>
      </c>
      <c r="BC70" s="216" t="s">
        <v>1045</v>
      </c>
      <c r="BD70" s="208" t="s">
        <v>973</v>
      </c>
      <c r="BE70" s="217">
        <v>0</v>
      </c>
      <c r="BF70" s="218">
        <v>1</v>
      </c>
      <c r="BG70" s="219">
        <v>2024.0224000000001</v>
      </c>
      <c r="BH70" s="220" t="s">
        <v>23</v>
      </c>
      <c r="BI70" s="220">
        <v>1.5</v>
      </c>
      <c r="BJ70" s="220" t="s">
        <v>320</v>
      </c>
      <c r="BK70" s="209">
        <v>1.5</v>
      </c>
      <c r="BL70" s="221" t="s">
        <v>346</v>
      </c>
      <c r="BM70" s="191" t="s">
        <v>32</v>
      </c>
      <c r="BN70" s="191" t="s">
        <v>1585</v>
      </c>
      <c r="BO70" s="191" t="s">
        <v>1586</v>
      </c>
      <c r="BP70" s="191" t="s">
        <v>1557</v>
      </c>
      <c r="BQ70" s="191" t="s">
        <v>1651</v>
      </c>
      <c r="BR70" s="191" t="s">
        <v>1645</v>
      </c>
      <c r="BS70" s="163" t="s">
        <v>825</v>
      </c>
      <c r="BT70" s="163" t="s">
        <v>826</v>
      </c>
      <c r="BU70" s="163" t="s">
        <v>827</v>
      </c>
      <c r="BV70" s="163" t="s">
        <v>828</v>
      </c>
      <c r="BW70" s="163" t="s">
        <v>829</v>
      </c>
      <c r="BX70" s="163" t="s">
        <v>830</v>
      </c>
      <c r="BY70" s="163"/>
      <c r="BZ70" s="163"/>
      <c r="CA70" s="163"/>
      <c r="CB70" s="163"/>
      <c r="CC70" s="163"/>
      <c r="CD70" s="681"/>
      <c r="CE70" s="11" t="s">
        <v>2102</v>
      </c>
      <c r="CH70" s="11">
        <f t="shared" ref="CH70:CH112" si="5">COUNTA(BS70:CD70)</f>
        <v>6</v>
      </c>
    </row>
    <row r="71" spans="1:86" s="443" customFormat="1" ht="26.4" x14ac:dyDescent="0.25">
      <c r="A71" s="411" t="s">
        <v>89</v>
      </c>
      <c r="B71" s="412">
        <v>425</v>
      </c>
      <c r="C71" s="444" t="s">
        <v>1325</v>
      </c>
      <c r="D71" s="415">
        <v>1</v>
      </c>
      <c r="E71" s="416"/>
      <c r="F71" s="416"/>
      <c r="G71" s="416"/>
      <c r="H71" s="416"/>
      <c r="I71" s="417"/>
      <c r="J71" s="417" t="s">
        <v>1754</v>
      </c>
      <c r="K71" s="417" t="s">
        <v>1753</v>
      </c>
      <c r="L71" s="418"/>
      <c r="M71" s="418"/>
      <c r="N71" s="418"/>
      <c r="O71" s="418"/>
      <c r="P71" s="418"/>
      <c r="Q71" s="419"/>
      <c r="R71" s="420" t="s">
        <v>901</v>
      </c>
      <c r="S71" s="421" t="s">
        <v>2063</v>
      </c>
      <c r="T71" s="422"/>
      <c r="U71" s="423"/>
      <c r="V71" s="424"/>
      <c r="W71" s="424"/>
      <c r="X71" s="424"/>
      <c r="Y71" s="424"/>
      <c r="Z71" s="421" t="s">
        <v>172</v>
      </c>
      <c r="AA71" s="425"/>
      <c r="AB71" s="425"/>
      <c r="AC71" s="423"/>
      <c r="AD71" s="424"/>
      <c r="AE71" s="424"/>
      <c r="AF71" s="424"/>
      <c r="AG71" s="424"/>
      <c r="AH71" s="424"/>
      <c r="AI71" s="424"/>
      <c r="AJ71" s="426" t="s">
        <v>163</v>
      </c>
      <c r="AK71" s="423" t="s">
        <v>163</v>
      </c>
      <c r="AL71" s="427" t="s">
        <v>172</v>
      </c>
      <c r="AM71" s="428" t="s">
        <v>172</v>
      </c>
      <c r="AN71" s="421"/>
      <c r="AO71" s="422"/>
      <c r="AP71" s="429"/>
      <c r="AQ71" s="423" t="s">
        <v>163</v>
      </c>
      <c r="AR71" s="430" t="s">
        <v>163</v>
      </c>
      <c r="AS71" s="430" t="s">
        <v>1836</v>
      </c>
      <c r="AT71" s="422">
        <v>1</v>
      </c>
      <c r="AU71" s="447" t="s">
        <v>158</v>
      </c>
      <c r="AV71" s="448" t="s">
        <v>163</v>
      </c>
      <c r="AW71" s="448" t="s">
        <v>163</v>
      </c>
      <c r="AX71" s="448" t="s">
        <v>163</v>
      </c>
      <c r="AY71" s="448" t="s">
        <v>163</v>
      </c>
      <c r="AZ71" s="448" t="s">
        <v>163</v>
      </c>
      <c r="BA71" s="433"/>
      <c r="BB71" s="434" t="s">
        <v>163</v>
      </c>
      <c r="BC71" s="435" t="s">
        <v>163</v>
      </c>
      <c r="BD71" s="448" t="s">
        <v>163</v>
      </c>
      <c r="BE71" s="436" t="s">
        <v>163</v>
      </c>
      <c r="BF71" s="447" t="s">
        <v>163</v>
      </c>
      <c r="BG71" s="446">
        <v>2024.0174999999999</v>
      </c>
      <c r="BH71" s="436" t="s">
        <v>23</v>
      </c>
      <c r="BI71" s="439">
        <v>1</v>
      </c>
      <c r="BJ71" s="439" t="s">
        <v>320</v>
      </c>
      <c r="BK71" s="439">
        <v>1</v>
      </c>
      <c r="BL71" s="440" t="s">
        <v>321</v>
      </c>
      <c r="BM71" s="441" t="s">
        <v>50</v>
      </c>
      <c r="BN71" s="441"/>
      <c r="BO71" s="441"/>
      <c r="BP71" s="441"/>
      <c r="BQ71" s="441" t="s">
        <v>1651</v>
      </c>
      <c r="BR71" s="441" t="s">
        <v>354</v>
      </c>
      <c r="BS71" s="442"/>
      <c r="BT71" s="442"/>
      <c r="BU71" s="442"/>
      <c r="BV71" s="442"/>
      <c r="BW71" s="442"/>
      <c r="BX71" s="442"/>
      <c r="BY71" s="442"/>
      <c r="BZ71" s="442"/>
      <c r="CA71" s="442"/>
      <c r="CB71" s="442"/>
      <c r="CC71" s="442"/>
      <c r="CD71" s="685"/>
      <c r="CH71" s="443">
        <f t="shared" si="5"/>
        <v>0</v>
      </c>
    </row>
    <row r="72" spans="1:86" x14ac:dyDescent="0.25">
      <c r="A72" s="192" t="s">
        <v>164</v>
      </c>
      <c r="B72" s="193">
        <v>426</v>
      </c>
      <c r="C72" s="343" t="s">
        <v>276</v>
      </c>
      <c r="D72" s="196">
        <v>2</v>
      </c>
      <c r="E72" s="197" t="s">
        <v>1915</v>
      </c>
      <c r="F72" s="197"/>
      <c r="G72" s="197"/>
      <c r="H72" s="197" t="s">
        <v>2005</v>
      </c>
      <c r="I72" s="198" t="s">
        <v>1767</v>
      </c>
      <c r="J72" s="198" t="s">
        <v>1157</v>
      </c>
      <c r="K72" s="198" t="s">
        <v>640</v>
      </c>
      <c r="L72" s="199">
        <v>0.2</v>
      </c>
      <c r="M72" s="199">
        <v>0.2</v>
      </c>
      <c r="N72" s="199">
        <v>0.2</v>
      </c>
      <c r="O72" s="199">
        <v>0.2</v>
      </c>
      <c r="P72" s="199">
        <v>0</v>
      </c>
      <c r="Q72" s="200">
        <v>0</v>
      </c>
      <c r="R72" s="201" t="s">
        <v>901</v>
      </c>
      <c r="S72" s="202" t="s">
        <v>1356</v>
      </c>
      <c r="T72" s="203"/>
      <c r="U72" s="204">
        <v>2</v>
      </c>
      <c r="V72" s="205"/>
      <c r="W72" s="205"/>
      <c r="X72" s="205"/>
      <c r="Y72" s="205"/>
      <c r="Z72" s="202" t="s">
        <v>172</v>
      </c>
      <c r="AA72" s="206"/>
      <c r="AB72" s="206"/>
      <c r="AC72" s="204"/>
      <c r="AD72" s="205"/>
      <c r="AE72" s="205"/>
      <c r="AF72" s="205"/>
      <c r="AG72" s="205"/>
      <c r="AH72" s="205"/>
      <c r="AI72" s="205"/>
      <c r="AJ72" s="207" t="s">
        <v>163</v>
      </c>
      <c r="AK72" s="204" t="s">
        <v>163</v>
      </c>
      <c r="AL72" s="208" t="s">
        <v>172</v>
      </c>
      <c r="AM72" s="209" t="s">
        <v>172</v>
      </c>
      <c r="AN72" s="202" t="s">
        <v>1263</v>
      </c>
      <c r="AO72" s="203">
        <v>2</v>
      </c>
      <c r="AP72" s="210" t="s">
        <v>23</v>
      </c>
      <c r="AQ72" s="204" t="s">
        <v>163</v>
      </c>
      <c r="AR72" s="211" t="s">
        <v>162</v>
      </c>
      <c r="AS72" s="211" t="s">
        <v>1854</v>
      </c>
      <c r="AT72" s="352">
        <v>2</v>
      </c>
      <c r="AU72" s="213" t="s">
        <v>158</v>
      </c>
      <c r="AV72" s="195" t="s">
        <v>1307</v>
      </c>
      <c r="AW72" s="195">
        <v>2</v>
      </c>
      <c r="AX72" s="195">
        <v>0</v>
      </c>
      <c r="AY72" s="195">
        <v>0</v>
      </c>
      <c r="AZ72" s="195">
        <v>0</v>
      </c>
      <c r="BA72" s="214" t="s">
        <v>172</v>
      </c>
      <c r="BB72" s="215" t="s">
        <v>163</v>
      </c>
      <c r="BC72" s="216" t="s">
        <v>163</v>
      </c>
      <c r="BD72" s="208" t="s">
        <v>163</v>
      </c>
      <c r="BE72" s="217" t="s">
        <v>163</v>
      </c>
      <c r="BF72" s="218" t="s">
        <v>163</v>
      </c>
      <c r="BG72" s="219" t="s">
        <v>163</v>
      </c>
      <c r="BH72" s="217" t="s">
        <v>163</v>
      </c>
      <c r="BI72" s="220" t="s">
        <v>163</v>
      </c>
      <c r="BJ72" s="220" t="s">
        <v>163</v>
      </c>
      <c r="BK72" s="209" t="s">
        <v>163</v>
      </c>
      <c r="BL72" s="221" t="s">
        <v>163</v>
      </c>
      <c r="BM72" s="191" t="s">
        <v>165</v>
      </c>
      <c r="BN72" s="191" t="s">
        <v>1583</v>
      </c>
      <c r="BO72" s="191" t="s">
        <v>1584</v>
      </c>
      <c r="BP72" s="191" t="s">
        <v>1558</v>
      </c>
      <c r="BQ72" s="191" t="s">
        <v>1652</v>
      </c>
      <c r="BR72" s="191" t="s">
        <v>354</v>
      </c>
      <c r="BS72" s="163" t="s">
        <v>831</v>
      </c>
      <c r="BT72" s="163" t="s">
        <v>832</v>
      </c>
      <c r="BU72" s="163" t="s">
        <v>833</v>
      </c>
      <c r="BV72" s="163" t="s">
        <v>834</v>
      </c>
      <c r="BW72" s="163" t="s">
        <v>835</v>
      </c>
      <c r="BX72" s="163" t="s">
        <v>836</v>
      </c>
      <c r="BY72" s="163"/>
      <c r="BZ72" s="163"/>
      <c r="CA72" s="163"/>
      <c r="CB72" s="163"/>
      <c r="CC72" s="163"/>
      <c r="CD72" s="681"/>
      <c r="CE72" s="11" t="s">
        <v>2091</v>
      </c>
      <c r="CH72" s="11">
        <f t="shared" si="5"/>
        <v>6</v>
      </c>
    </row>
    <row r="73" spans="1:86" s="487" customFormat="1" ht="13.8" thickBot="1" x14ac:dyDescent="0.3">
      <c r="A73" s="539" t="s">
        <v>699</v>
      </c>
      <c r="B73" s="540"/>
      <c r="C73" s="601" t="s">
        <v>337</v>
      </c>
      <c r="D73" s="602">
        <v>2.5</v>
      </c>
      <c r="E73" s="545" t="s">
        <v>1915</v>
      </c>
      <c r="F73" s="545"/>
      <c r="G73" s="545"/>
      <c r="H73" s="545" t="s">
        <v>2049</v>
      </c>
      <c r="I73" s="546" t="s">
        <v>1875</v>
      </c>
      <c r="J73" s="546" t="s">
        <v>1164</v>
      </c>
      <c r="K73" s="546" t="s">
        <v>642</v>
      </c>
      <c r="L73" s="547">
        <v>0.25</v>
      </c>
      <c r="M73" s="547">
        <v>0</v>
      </c>
      <c r="N73" s="547">
        <v>0.25</v>
      </c>
      <c r="O73" s="547">
        <v>0.25</v>
      </c>
      <c r="P73" s="547">
        <v>0</v>
      </c>
      <c r="Q73" s="548">
        <v>0.25</v>
      </c>
      <c r="R73" s="549" t="s">
        <v>901</v>
      </c>
      <c r="S73" s="550" t="s">
        <v>1400</v>
      </c>
      <c r="T73" s="551"/>
      <c r="U73" s="534">
        <v>2.5</v>
      </c>
      <c r="V73" s="552"/>
      <c r="W73" s="552"/>
      <c r="X73" s="552"/>
      <c r="Y73" s="552"/>
      <c r="Z73" s="550" t="s">
        <v>172</v>
      </c>
      <c r="AA73" s="553"/>
      <c r="AB73" s="553"/>
      <c r="AC73" s="534"/>
      <c r="AD73" s="552"/>
      <c r="AE73" s="552"/>
      <c r="AF73" s="552"/>
      <c r="AG73" s="552"/>
      <c r="AH73" s="552"/>
      <c r="AI73" s="552"/>
      <c r="AJ73" s="554" t="s">
        <v>163</v>
      </c>
      <c r="AK73" s="534" t="s">
        <v>163</v>
      </c>
      <c r="AL73" s="555" t="s">
        <v>172</v>
      </c>
      <c r="AM73" s="556" t="s">
        <v>172</v>
      </c>
      <c r="AN73" s="550" t="s">
        <v>173</v>
      </c>
      <c r="AO73" s="551" t="s">
        <v>173</v>
      </c>
      <c r="AP73" s="557" t="s">
        <v>173</v>
      </c>
      <c r="AQ73" s="534" t="s">
        <v>173</v>
      </c>
      <c r="AR73" s="535"/>
      <c r="AS73" s="535" t="s">
        <v>1855</v>
      </c>
      <c r="AT73" s="603">
        <v>2.5</v>
      </c>
      <c r="AU73" s="559" t="s">
        <v>158</v>
      </c>
      <c r="AV73" s="543" t="s">
        <v>1308</v>
      </c>
      <c r="AW73" s="543">
        <v>2.5</v>
      </c>
      <c r="AX73" s="543">
        <v>0</v>
      </c>
      <c r="AY73" s="543">
        <v>0</v>
      </c>
      <c r="AZ73" s="543">
        <v>2.5</v>
      </c>
      <c r="BA73" s="560" t="s">
        <v>172</v>
      </c>
      <c r="BB73" s="561" t="s">
        <v>163</v>
      </c>
      <c r="BC73" s="562" t="s">
        <v>163</v>
      </c>
      <c r="BD73" s="555" t="s">
        <v>163</v>
      </c>
      <c r="BE73" s="563" t="s">
        <v>163</v>
      </c>
      <c r="BF73" s="564" t="s">
        <v>163</v>
      </c>
      <c r="BG73" s="565">
        <v>2024.0213000000001</v>
      </c>
      <c r="BH73" s="513" t="s">
        <v>23</v>
      </c>
      <c r="BI73" s="566">
        <v>2.5</v>
      </c>
      <c r="BJ73" s="566" t="s">
        <v>320</v>
      </c>
      <c r="BK73" s="556">
        <v>2.5</v>
      </c>
      <c r="BL73" s="567" t="s">
        <v>320</v>
      </c>
      <c r="BM73" s="485" t="s">
        <v>1149</v>
      </c>
      <c r="BN73" s="485" t="s">
        <v>1581</v>
      </c>
      <c r="BO73" s="485" t="s">
        <v>1582</v>
      </c>
      <c r="BP73" s="485" t="s">
        <v>1631</v>
      </c>
      <c r="BQ73" s="485" t="s">
        <v>1651</v>
      </c>
      <c r="BR73" s="485" t="s">
        <v>1646</v>
      </c>
      <c r="BS73" s="486" t="s">
        <v>2073</v>
      </c>
      <c r="BT73" s="486" t="s">
        <v>2074</v>
      </c>
      <c r="BU73" s="486" t="s">
        <v>2075</v>
      </c>
      <c r="BV73" s="486" t="s">
        <v>834</v>
      </c>
      <c r="BW73" s="486" t="s">
        <v>2076</v>
      </c>
      <c r="BX73" s="486" t="s">
        <v>2077</v>
      </c>
      <c r="BY73" s="486" t="s">
        <v>2078</v>
      </c>
      <c r="BZ73" s="486" t="s">
        <v>2079</v>
      </c>
      <c r="CA73" s="486" t="s">
        <v>2080</v>
      </c>
      <c r="CB73" s="486"/>
      <c r="CC73" s="486"/>
      <c r="CD73" s="682"/>
      <c r="CE73" s="487" t="s">
        <v>2091</v>
      </c>
      <c r="CH73" s="487">
        <f t="shared" si="5"/>
        <v>9</v>
      </c>
    </row>
    <row r="74" spans="1:86" ht="13.8" thickBot="1" x14ac:dyDescent="0.3">
      <c r="A74" s="133"/>
      <c r="B74" s="134"/>
      <c r="C74" s="108" t="s">
        <v>166</v>
      </c>
      <c r="D74" s="265"/>
      <c r="E74" s="143"/>
      <c r="F74" s="143"/>
      <c r="G74" s="143"/>
      <c r="H74" s="143"/>
      <c r="I74" s="266"/>
      <c r="J74" s="266"/>
      <c r="K74" s="266"/>
      <c r="L74" s="136"/>
      <c r="M74" s="136"/>
      <c r="N74" s="136"/>
      <c r="O74" s="136"/>
      <c r="P74" s="136"/>
      <c r="Q74" s="138"/>
      <c r="R74" s="139"/>
      <c r="S74" s="140"/>
      <c r="T74" s="141"/>
      <c r="U74" s="142"/>
      <c r="V74" s="143"/>
      <c r="W74" s="143"/>
      <c r="X74" s="143"/>
      <c r="Y74" s="143"/>
      <c r="Z74" s="140"/>
      <c r="AA74" s="144"/>
      <c r="AB74" s="144"/>
      <c r="AC74" s="142"/>
      <c r="AD74" s="143"/>
      <c r="AE74" s="143"/>
      <c r="AF74" s="143"/>
      <c r="AG74" s="143"/>
      <c r="AH74" s="143"/>
      <c r="AI74" s="143"/>
      <c r="AJ74" s="145"/>
      <c r="AK74" s="142"/>
      <c r="AL74" s="146"/>
      <c r="AM74" s="147"/>
      <c r="AN74" s="140"/>
      <c r="AO74" s="141"/>
      <c r="AP74" s="341"/>
      <c r="AQ74" s="142"/>
      <c r="AR74" s="151"/>
      <c r="AS74" s="151"/>
      <c r="AT74" s="152"/>
      <c r="AU74" s="153"/>
      <c r="AV74" s="154"/>
      <c r="AW74" s="154"/>
      <c r="AX74" s="154"/>
      <c r="AY74" s="154"/>
      <c r="AZ74" s="154"/>
      <c r="BA74" s="155"/>
      <c r="BB74" s="268"/>
      <c r="BC74" s="156"/>
      <c r="BD74" s="146"/>
      <c r="BE74" s="157"/>
      <c r="BF74" s="158"/>
      <c r="BG74" s="159"/>
      <c r="BH74" s="160"/>
      <c r="BI74" s="160"/>
      <c r="BJ74" s="160"/>
      <c r="BK74" s="147"/>
      <c r="BL74" s="161"/>
      <c r="BM74" s="269"/>
      <c r="BN74" s="135"/>
      <c r="BO74" s="135"/>
      <c r="BP74" s="135"/>
      <c r="BQ74" s="135"/>
      <c r="BR74" s="135"/>
      <c r="BS74" s="270"/>
      <c r="BT74" s="270"/>
      <c r="BU74" s="270"/>
      <c r="BV74" s="270"/>
      <c r="BW74" s="270"/>
      <c r="BX74" s="270"/>
      <c r="BY74" s="270"/>
      <c r="BZ74" s="270"/>
      <c r="CA74" s="270"/>
      <c r="CB74" s="270"/>
      <c r="CC74" s="270"/>
      <c r="CD74" s="270"/>
    </row>
    <row r="75" spans="1:86" s="487" customFormat="1" x14ac:dyDescent="0.25">
      <c r="A75" s="454" t="s">
        <v>90</v>
      </c>
      <c r="B75" s="455">
        <v>427</v>
      </c>
      <c r="C75" s="596" t="s">
        <v>44</v>
      </c>
      <c r="D75" s="458">
        <v>1</v>
      </c>
      <c r="E75" s="459" t="s">
        <v>1917</v>
      </c>
      <c r="F75" s="459"/>
      <c r="G75" s="459"/>
      <c r="H75" s="459" t="s">
        <v>2008</v>
      </c>
      <c r="I75" s="460" t="s">
        <v>1766</v>
      </c>
      <c r="J75" s="460" t="s">
        <v>1101</v>
      </c>
      <c r="K75" s="460" t="s">
        <v>678</v>
      </c>
      <c r="L75" s="461">
        <v>0.1</v>
      </c>
      <c r="M75" s="461">
        <v>0.1</v>
      </c>
      <c r="N75" s="461">
        <v>0</v>
      </c>
      <c r="O75" s="461">
        <v>0</v>
      </c>
      <c r="P75" s="461">
        <v>0.1</v>
      </c>
      <c r="Q75" s="462">
        <v>0</v>
      </c>
      <c r="R75" s="463" t="s">
        <v>901</v>
      </c>
      <c r="S75" s="464" t="s">
        <v>1376</v>
      </c>
      <c r="T75" s="465"/>
      <c r="U75" s="466">
        <v>1.5</v>
      </c>
      <c r="V75" s="467"/>
      <c r="W75" s="467"/>
      <c r="X75" s="467"/>
      <c r="Y75" s="467"/>
      <c r="Z75" s="468" t="s">
        <v>1728</v>
      </c>
      <c r="AA75" s="469" t="s">
        <v>1729</v>
      </c>
      <c r="AB75" s="469" t="s">
        <v>182</v>
      </c>
      <c r="AC75" s="466">
        <v>1.5</v>
      </c>
      <c r="AD75" s="467"/>
      <c r="AE75" s="467"/>
      <c r="AF75" s="467"/>
      <c r="AG75" s="467"/>
      <c r="AH75" s="467"/>
      <c r="AI75" s="467"/>
      <c r="AJ75" s="470" t="s">
        <v>163</v>
      </c>
      <c r="AK75" s="466" t="s">
        <v>163</v>
      </c>
      <c r="AL75" s="471" t="s">
        <v>573</v>
      </c>
      <c r="AM75" s="472">
        <v>1.5</v>
      </c>
      <c r="AN75" s="526" t="s">
        <v>1234</v>
      </c>
      <c r="AO75" s="465">
        <v>0</v>
      </c>
      <c r="AP75" s="604" t="s">
        <v>709</v>
      </c>
      <c r="AQ75" s="466" t="s">
        <v>163</v>
      </c>
      <c r="AR75" s="474" t="s">
        <v>246</v>
      </c>
      <c r="AS75" s="474" t="s">
        <v>1837</v>
      </c>
      <c r="AT75" s="475">
        <f t="shared" ref="AT75:AT80" si="6">L75*10</f>
        <v>1</v>
      </c>
      <c r="AU75" s="476" t="s">
        <v>317</v>
      </c>
      <c r="AV75" s="457" t="s">
        <v>1309</v>
      </c>
      <c r="AW75" s="457">
        <v>0</v>
      </c>
      <c r="AX75" s="457">
        <v>1.5</v>
      </c>
      <c r="AY75" s="457">
        <v>1.5</v>
      </c>
      <c r="AZ75" s="457">
        <v>0</v>
      </c>
      <c r="BA75" s="527" t="s">
        <v>172</v>
      </c>
      <c r="BB75" s="478" t="s">
        <v>163</v>
      </c>
      <c r="BC75" s="479" t="s">
        <v>163</v>
      </c>
      <c r="BD75" s="471" t="s">
        <v>163</v>
      </c>
      <c r="BE75" s="480" t="s">
        <v>163</v>
      </c>
      <c r="BF75" s="481" t="s">
        <v>163</v>
      </c>
      <c r="BG75" s="482">
        <v>2024.0192</v>
      </c>
      <c r="BH75" s="483" t="s">
        <v>350</v>
      </c>
      <c r="BI75" s="483">
        <v>1.5</v>
      </c>
      <c r="BJ75" s="483" t="s">
        <v>320</v>
      </c>
      <c r="BK75" s="472">
        <v>1.5</v>
      </c>
      <c r="BL75" s="484" t="s">
        <v>351</v>
      </c>
      <c r="BM75" s="485" t="s">
        <v>49</v>
      </c>
      <c r="BN75" s="485" t="s">
        <v>1564</v>
      </c>
      <c r="BO75" s="485" t="s">
        <v>1565</v>
      </c>
      <c r="BP75" s="485" t="s">
        <v>1632</v>
      </c>
      <c r="BQ75" s="485" t="s">
        <v>1651</v>
      </c>
      <c r="BR75" s="485" t="s">
        <v>1647</v>
      </c>
      <c r="BS75" s="486" t="s">
        <v>578</v>
      </c>
      <c r="BT75" s="486" t="s">
        <v>579</v>
      </c>
      <c r="BU75" s="486" t="s">
        <v>585</v>
      </c>
      <c r="BV75" s="486" t="s">
        <v>580</v>
      </c>
      <c r="BW75" s="486" t="s">
        <v>581</v>
      </c>
      <c r="BX75" s="486" t="s">
        <v>582</v>
      </c>
      <c r="BY75" s="486" t="s">
        <v>583</v>
      </c>
      <c r="BZ75" s="486"/>
      <c r="CA75" s="486"/>
      <c r="CB75" s="486"/>
      <c r="CC75" s="486"/>
      <c r="CD75" s="682"/>
      <c r="CE75" s="487" t="s">
        <v>2091</v>
      </c>
      <c r="CH75" s="487">
        <f t="shared" si="5"/>
        <v>7</v>
      </c>
    </row>
    <row r="76" spans="1:86" ht="14.4" x14ac:dyDescent="0.3">
      <c r="A76" s="192" t="s">
        <v>91</v>
      </c>
      <c r="B76" s="193">
        <v>428</v>
      </c>
      <c r="C76" s="343" t="s">
        <v>45</v>
      </c>
      <c r="D76" s="196">
        <v>1.5</v>
      </c>
      <c r="E76" s="197" t="s">
        <v>1917</v>
      </c>
      <c r="F76" s="197"/>
      <c r="G76" s="197"/>
      <c r="H76" s="197" t="s">
        <v>1983</v>
      </c>
      <c r="I76" s="198" t="s">
        <v>1765</v>
      </c>
      <c r="J76" s="198" t="s">
        <v>1158</v>
      </c>
      <c r="K76" s="198" t="s">
        <v>639</v>
      </c>
      <c r="L76" s="199">
        <v>0.15</v>
      </c>
      <c r="M76" s="199">
        <v>0.15</v>
      </c>
      <c r="N76" s="199">
        <v>0</v>
      </c>
      <c r="O76" s="199">
        <v>0</v>
      </c>
      <c r="P76" s="199">
        <v>0.15</v>
      </c>
      <c r="Q76" s="200">
        <v>0</v>
      </c>
      <c r="R76" s="201" t="s">
        <v>901</v>
      </c>
      <c r="S76" s="202" t="s">
        <v>1377</v>
      </c>
      <c r="T76" s="203"/>
      <c r="U76" s="204">
        <v>1.5</v>
      </c>
      <c r="V76" s="205"/>
      <c r="W76" s="205"/>
      <c r="X76" s="205"/>
      <c r="Y76" s="205"/>
      <c r="Z76" s="224" t="s">
        <v>1730</v>
      </c>
      <c r="AA76" s="206" t="s">
        <v>1729</v>
      </c>
      <c r="AB76" s="206" t="s">
        <v>182</v>
      </c>
      <c r="AC76" s="204">
        <v>1.5</v>
      </c>
      <c r="AD76" s="205"/>
      <c r="AE76" s="205"/>
      <c r="AF76" s="205"/>
      <c r="AG76" s="205"/>
      <c r="AH76" s="205"/>
      <c r="AI76" s="205"/>
      <c r="AJ76" s="207" t="s">
        <v>163</v>
      </c>
      <c r="AK76" s="204" t="s">
        <v>163</v>
      </c>
      <c r="AL76" s="208" t="s">
        <v>573</v>
      </c>
      <c r="AM76" s="209">
        <v>1.5</v>
      </c>
      <c r="AN76" s="202" t="s">
        <v>1235</v>
      </c>
      <c r="AO76" s="203">
        <v>0</v>
      </c>
      <c r="AP76" s="351" t="s">
        <v>709</v>
      </c>
      <c r="AQ76" s="204" t="s">
        <v>163</v>
      </c>
      <c r="AR76" s="211" t="s">
        <v>245</v>
      </c>
      <c r="AS76" s="211" t="s">
        <v>1838</v>
      </c>
      <c r="AT76" s="212">
        <f t="shared" si="6"/>
        <v>1.5</v>
      </c>
      <c r="AU76" s="213" t="s">
        <v>317</v>
      </c>
      <c r="AV76" s="195" t="s">
        <v>1310</v>
      </c>
      <c r="AW76" s="195">
        <v>0</v>
      </c>
      <c r="AX76" s="195">
        <v>1.5</v>
      </c>
      <c r="AY76" s="195">
        <v>1.5</v>
      </c>
      <c r="AZ76" s="195">
        <v>0</v>
      </c>
      <c r="BA76" s="214" t="s">
        <v>172</v>
      </c>
      <c r="BB76" s="215" t="s">
        <v>163</v>
      </c>
      <c r="BC76" s="216" t="s">
        <v>163</v>
      </c>
      <c r="BD76" s="208" t="s">
        <v>163</v>
      </c>
      <c r="BE76" s="217" t="s">
        <v>163</v>
      </c>
      <c r="BF76" s="218" t="s">
        <v>163</v>
      </c>
      <c r="BG76" s="219">
        <v>2024.0232000000001</v>
      </c>
      <c r="BH76" s="220" t="s">
        <v>22</v>
      </c>
      <c r="BI76" s="220">
        <v>1.5</v>
      </c>
      <c r="BJ76" s="220" t="s">
        <v>320</v>
      </c>
      <c r="BK76" s="209">
        <v>1.5</v>
      </c>
      <c r="BL76" s="221" t="s">
        <v>321</v>
      </c>
      <c r="BM76" s="191" t="s">
        <v>1450</v>
      </c>
      <c r="BN76" s="191" t="s">
        <v>1566</v>
      </c>
      <c r="BO76" s="191" t="s">
        <v>1567</v>
      </c>
      <c r="BP76" s="191" t="s">
        <v>1633</v>
      </c>
      <c r="BQ76" s="191" t="s">
        <v>1651</v>
      </c>
      <c r="BR76" s="191" t="s">
        <v>1648</v>
      </c>
      <c r="BS76" s="73" t="s">
        <v>553</v>
      </c>
      <c r="BT76" s="73" t="s">
        <v>1451</v>
      </c>
      <c r="BU76" s="163" t="s">
        <v>1452</v>
      </c>
      <c r="BV76" s="163" t="s">
        <v>1453</v>
      </c>
      <c r="BW76" s="163" t="s">
        <v>1454</v>
      </c>
      <c r="BX76" s="73" t="s">
        <v>1455</v>
      </c>
      <c r="BY76" s="73" t="s">
        <v>552</v>
      </c>
      <c r="BZ76" s="73" t="s">
        <v>1456</v>
      </c>
      <c r="CA76" s="163" t="s">
        <v>1457</v>
      </c>
      <c r="CB76" s="73" t="s">
        <v>1458</v>
      </c>
      <c r="CC76" s="73" t="s">
        <v>1459</v>
      </c>
      <c r="CD76" s="681"/>
      <c r="CE76" s="11" t="s">
        <v>2091</v>
      </c>
      <c r="CH76" s="11">
        <f t="shared" si="5"/>
        <v>11</v>
      </c>
    </row>
    <row r="77" spans="1:86" s="487" customFormat="1" x14ac:dyDescent="0.25">
      <c r="A77" s="488" t="s">
        <v>92</v>
      </c>
      <c r="B77" s="489">
        <v>429</v>
      </c>
      <c r="C77" s="597" t="s">
        <v>46</v>
      </c>
      <c r="D77" s="492">
        <v>1</v>
      </c>
      <c r="E77" s="493" t="s">
        <v>1915</v>
      </c>
      <c r="F77" s="493" t="s">
        <v>1915</v>
      </c>
      <c r="G77" s="493" t="s">
        <v>1915</v>
      </c>
      <c r="H77" s="493" t="s">
        <v>1984</v>
      </c>
      <c r="I77" s="494" t="s">
        <v>1764</v>
      </c>
      <c r="J77" s="494" t="s">
        <v>1179</v>
      </c>
      <c r="K77" s="494" t="s">
        <v>638</v>
      </c>
      <c r="L77" s="495">
        <v>0.1</v>
      </c>
      <c r="M77" s="495">
        <v>0.1</v>
      </c>
      <c r="N77" s="495">
        <v>0</v>
      </c>
      <c r="O77" s="495">
        <v>0.1</v>
      </c>
      <c r="P77" s="495">
        <v>0.1</v>
      </c>
      <c r="Q77" s="496">
        <v>0</v>
      </c>
      <c r="R77" s="497" t="s">
        <v>901</v>
      </c>
      <c r="S77" s="498" t="s">
        <v>1348</v>
      </c>
      <c r="T77" s="499"/>
      <c r="U77" s="500">
        <v>1</v>
      </c>
      <c r="V77" s="501"/>
      <c r="W77" s="501"/>
      <c r="X77" s="501"/>
      <c r="Y77" s="501"/>
      <c r="Z77" s="519" t="s">
        <v>1731</v>
      </c>
      <c r="AA77" s="502" t="s">
        <v>1729</v>
      </c>
      <c r="AB77" s="502" t="s">
        <v>182</v>
      </c>
      <c r="AC77" s="500">
        <v>1</v>
      </c>
      <c r="AD77" s="501"/>
      <c r="AE77" s="501"/>
      <c r="AF77" s="501"/>
      <c r="AG77" s="501"/>
      <c r="AH77" s="501"/>
      <c r="AI77" s="501"/>
      <c r="AJ77" s="503" t="s">
        <v>163</v>
      </c>
      <c r="AK77" s="500" t="s">
        <v>163</v>
      </c>
      <c r="AL77" s="504" t="s">
        <v>571</v>
      </c>
      <c r="AM77" s="505">
        <v>1</v>
      </c>
      <c r="AN77" s="520" t="s">
        <v>1236</v>
      </c>
      <c r="AO77" s="499">
        <v>0</v>
      </c>
      <c r="AP77" s="605" t="s">
        <v>709</v>
      </c>
      <c r="AQ77" s="500" t="s">
        <v>163</v>
      </c>
      <c r="AR77" s="507" t="s">
        <v>243</v>
      </c>
      <c r="AS77" s="507" t="s">
        <v>1839</v>
      </c>
      <c r="AT77" s="508">
        <f t="shared" si="6"/>
        <v>1</v>
      </c>
      <c r="AU77" s="509" t="s">
        <v>317</v>
      </c>
      <c r="AV77" s="491" t="s">
        <v>1311</v>
      </c>
      <c r="AW77" s="491">
        <v>0</v>
      </c>
      <c r="AX77" s="491">
        <v>1</v>
      </c>
      <c r="AY77" s="491">
        <v>1</v>
      </c>
      <c r="AZ77" s="491">
        <v>0</v>
      </c>
      <c r="BA77" s="510" t="s">
        <v>172</v>
      </c>
      <c r="BB77" s="511" t="s">
        <v>163</v>
      </c>
      <c r="BC77" s="512" t="s">
        <v>163</v>
      </c>
      <c r="BD77" s="504" t="s">
        <v>163</v>
      </c>
      <c r="BE77" s="513" t="s">
        <v>163</v>
      </c>
      <c r="BF77" s="514" t="s">
        <v>163</v>
      </c>
      <c r="BG77" s="515">
        <v>2024.0233000000001</v>
      </c>
      <c r="BH77" s="516" t="s">
        <v>350</v>
      </c>
      <c r="BI77" s="516">
        <v>1</v>
      </c>
      <c r="BJ77" s="516" t="s">
        <v>320</v>
      </c>
      <c r="BK77" s="505">
        <v>1</v>
      </c>
      <c r="BL77" s="517" t="s">
        <v>321</v>
      </c>
      <c r="BM77" s="485" t="s">
        <v>584</v>
      </c>
      <c r="BN77" s="485" t="s">
        <v>1568</v>
      </c>
      <c r="BO77" s="485" t="s">
        <v>1569</v>
      </c>
      <c r="BP77" s="485" t="s">
        <v>1634</v>
      </c>
      <c r="BQ77" s="485" t="s">
        <v>1651</v>
      </c>
      <c r="BR77" s="485" t="s">
        <v>1647</v>
      </c>
      <c r="BS77" s="486" t="s">
        <v>554</v>
      </c>
      <c r="BT77" s="486" t="s">
        <v>555</v>
      </c>
      <c r="BU77" s="486" t="s">
        <v>556</v>
      </c>
      <c r="BV77" s="486" t="s">
        <v>557</v>
      </c>
      <c r="BW77" s="486" t="s">
        <v>558</v>
      </c>
      <c r="BX77" s="486" t="s">
        <v>559</v>
      </c>
      <c r="BY77" s="486"/>
      <c r="BZ77" s="486"/>
      <c r="CA77" s="486"/>
      <c r="CB77" s="486"/>
      <c r="CC77" s="486"/>
      <c r="CD77" s="682"/>
      <c r="CE77" s="487" t="s">
        <v>2091</v>
      </c>
      <c r="CH77" s="487">
        <f t="shared" si="5"/>
        <v>6</v>
      </c>
    </row>
    <row r="78" spans="1:86" x14ac:dyDescent="0.25">
      <c r="A78" s="192" t="s">
        <v>93</v>
      </c>
      <c r="B78" s="193">
        <v>430</v>
      </c>
      <c r="C78" s="343" t="s">
        <v>338</v>
      </c>
      <c r="D78" s="196">
        <v>2.5</v>
      </c>
      <c r="E78" s="197" t="s">
        <v>1915</v>
      </c>
      <c r="F78" s="197"/>
      <c r="G78" s="197"/>
      <c r="H78" s="197" t="s">
        <v>1985</v>
      </c>
      <c r="I78" s="198" t="s">
        <v>1763</v>
      </c>
      <c r="J78" s="198" t="s">
        <v>1159</v>
      </c>
      <c r="K78" s="198" t="s">
        <v>637</v>
      </c>
      <c r="L78" s="199">
        <v>0.25</v>
      </c>
      <c r="M78" s="199">
        <v>0.25</v>
      </c>
      <c r="N78" s="199">
        <v>0</v>
      </c>
      <c r="O78" s="199">
        <v>0</v>
      </c>
      <c r="P78" s="199">
        <v>0</v>
      </c>
      <c r="Q78" s="200">
        <v>0</v>
      </c>
      <c r="R78" s="201" t="s">
        <v>901</v>
      </c>
      <c r="S78" s="202" t="s">
        <v>1378</v>
      </c>
      <c r="T78" s="203"/>
      <c r="U78" s="204">
        <v>2.5</v>
      </c>
      <c r="V78" s="205"/>
      <c r="W78" s="205"/>
      <c r="X78" s="205"/>
      <c r="Y78" s="205"/>
      <c r="Z78" s="224" t="s">
        <v>1732</v>
      </c>
      <c r="AA78" s="206" t="s">
        <v>1733</v>
      </c>
      <c r="AB78" s="206" t="s">
        <v>186</v>
      </c>
      <c r="AC78" s="204">
        <v>2.5</v>
      </c>
      <c r="AD78" s="205"/>
      <c r="AE78" s="205"/>
      <c r="AF78" s="205"/>
      <c r="AG78" s="205"/>
      <c r="AH78" s="205"/>
      <c r="AI78" s="205"/>
      <c r="AJ78" s="207" t="s">
        <v>163</v>
      </c>
      <c r="AK78" s="204" t="s">
        <v>163</v>
      </c>
      <c r="AL78" s="208" t="s">
        <v>575</v>
      </c>
      <c r="AM78" s="209">
        <v>2.5</v>
      </c>
      <c r="AN78" s="202" t="s">
        <v>1237</v>
      </c>
      <c r="AO78" s="203">
        <v>0</v>
      </c>
      <c r="AP78" s="351" t="s">
        <v>709</v>
      </c>
      <c r="AQ78" s="204" t="s">
        <v>163</v>
      </c>
      <c r="AR78" s="211" t="s">
        <v>244</v>
      </c>
      <c r="AS78" s="211" t="s">
        <v>1840</v>
      </c>
      <c r="AT78" s="212">
        <f t="shared" si="6"/>
        <v>2.5</v>
      </c>
      <c r="AU78" s="213" t="s">
        <v>317</v>
      </c>
      <c r="AV78" s="195" t="s">
        <v>1312</v>
      </c>
      <c r="AW78" s="195">
        <v>0</v>
      </c>
      <c r="AX78" s="195">
        <v>2.5</v>
      </c>
      <c r="AY78" s="195">
        <v>0</v>
      </c>
      <c r="AZ78" s="195">
        <v>0</v>
      </c>
      <c r="BA78" s="214" t="s">
        <v>172</v>
      </c>
      <c r="BB78" s="215" t="s">
        <v>163</v>
      </c>
      <c r="BC78" s="216" t="s">
        <v>163</v>
      </c>
      <c r="BD78" s="208" t="s">
        <v>163</v>
      </c>
      <c r="BE78" s="217" t="s">
        <v>163</v>
      </c>
      <c r="BF78" s="218" t="s">
        <v>163</v>
      </c>
      <c r="BG78" s="219">
        <v>2024.0181</v>
      </c>
      <c r="BH78" s="220" t="s">
        <v>350</v>
      </c>
      <c r="BI78" s="220">
        <v>2.5</v>
      </c>
      <c r="BJ78" s="220" t="s">
        <v>320</v>
      </c>
      <c r="BK78" s="209">
        <v>2.5</v>
      </c>
      <c r="BL78" s="221" t="s">
        <v>321</v>
      </c>
      <c r="BM78" s="191" t="s">
        <v>586</v>
      </c>
      <c r="BN78" s="191" t="s">
        <v>1570</v>
      </c>
      <c r="BO78" s="191" t="s">
        <v>1867</v>
      </c>
      <c r="BP78" s="191" t="s">
        <v>1635</v>
      </c>
      <c r="BQ78" s="191" t="s">
        <v>1653</v>
      </c>
      <c r="BR78" s="191" t="s">
        <v>1648</v>
      </c>
      <c r="BS78" s="163" t="s">
        <v>560</v>
      </c>
      <c r="BT78" s="163" t="s">
        <v>561</v>
      </c>
      <c r="BU78" s="163" t="s">
        <v>587</v>
      </c>
      <c r="BV78" s="163" t="s">
        <v>562</v>
      </c>
      <c r="BW78" s="163" t="s">
        <v>563</v>
      </c>
      <c r="BX78" s="163"/>
      <c r="BY78" s="163"/>
      <c r="BZ78" s="163"/>
      <c r="CA78" s="163"/>
      <c r="CB78" s="163"/>
      <c r="CC78" s="163"/>
      <c r="CD78" s="681"/>
      <c r="CE78" s="11" t="s">
        <v>2091</v>
      </c>
      <c r="CH78" s="11">
        <f t="shared" si="5"/>
        <v>5</v>
      </c>
    </row>
    <row r="79" spans="1:86" s="487" customFormat="1" x14ac:dyDescent="0.25">
      <c r="A79" s="488" t="s">
        <v>94</v>
      </c>
      <c r="B79" s="489">
        <v>431</v>
      </c>
      <c r="C79" s="597" t="s">
        <v>230</v>
      </c>
      <c r="D79" s="492">
        <v>2.5</v>
      </c>
      <c r="E79" s="493" t="s">
        <v>1915</v>
      </c>
      <c r="F79" s="493"/>
      <c r="G79" s="493"/>
      <c r="H79" s="493" t="s">
        <v>1986</v>
      </c>
      <c r="I79" s="494" t="s">
        <v>1762</v>
      </c>
      <c r="J79" s="494" t="s">
        <v>1160</v>
      </c>
      <c r="K79" s="494" t="s">
        <v>636</v>
      </c>
      <c r="L79" s="495">
        <v>0.25</v>
      </c>
      <c r="M79" s="495">
        <v>0.25</v>
      </c>
      <c r="N79" s="495">
        <v>0.25</v>
      </c>
      <c r="O79" s="495">
        <v>0.25</v>
      </c>
      <c r="P79" s="495">
        <v>0.25</v>
      </c>
      <c r="Q79" s="496">
        <v>0</v>
      </c>
      <c r="R79" s="497" t="s">
        <v>901</v>
      </c>
      <c r="S79" s="498" t="s">
        <v>1379</v>
      </c>
      <c r="T79" s="499"/>
      <c r="U79" s="500">
        <v>2.5</v>
      </c>
      <c r="V79" s="501"/>
      <c r="W79" s="501"/>
      <c r="X79" s="501"/>
      <c r="Y79" s="501"/>
      <c r="Z79" s="519" t="s">
        <v>1734</v>
      </c>
      <c r="AA79" s="502" t="s">
        <v>1729</v>
      </c>
      <c r="AB79" s="502" t="s">
        <v>186</v>
      </c>
      <c r="AC79" s="500">
        <v>3</v>
      </c>
      <c r="AD79" s="501"/>
      <c r="AE79" s="501"/>
      <c r="AF79" s="501"/>
      <c r="AG79" s="501"/>
      <c r="AH79" s="501"/>
      <c r="AI79" s="501"/>
      <c r="AJ79" s="503" t="s">
        <v>163</v>
      </c>
      <c r="AK79" s="500" t="s">
        <v>163</v>
      </c>
      <c r="AL79" s="504" t="s">
        <v>575</v>
      </c>
      <c r="AM79" s="505">
        <v>2.5</v>
      </c>
      <c r="AN79" s="498" t="s">
        <v>1238</v>
      </c>
      <c r="AO79" s="499">
        <v>0</v>
      </c>
      <c r="AP79" s="605" t="s">
        <v>709</v>
      </c>
      <c r="AQ79" s="500" t="s">
        <v>163</v>
      </c>
      <c r="AR79" s="507" t="s">
        <v>509</v>
      </c>
      <c r="AS79" s="507" t="s">
        <v>1841</v>
      </c>
      <c r="AT79" s="508">
        <f t="shared" si="6"/>
        <v>2.5</v>
      </c>
      <c r="AU79" s="509" t="s">
        <v>317</v>
      </c>
      <c r="AV79" s="491" t="s">
        <v>1313</v>
      </c>
      <c r="AW79" s="491">
        <v>0</v>
      </c>
      <c r="AX79" s="491">
        <v>2.5</v>
      </c>
      <c r="AY79" s="491">
        <v>2.5</v>
      </c>
      <c r="AZ79" s="491">
        <v>0</v>
      </c>
      <c r="BA79" s="510" t="s">
        <v>172</v>
      </c>
      <c r="BB79" s="511" t="s">
        <v>163</v>
      </c>
      <c r="BC79" s="512" t="s">
        <v>163</v>
      </c>
      <c r="BD79" s="504" t="s">
        <v>163</v>
      </c>
      <c r="BE79" s="513" t="s">
        <v>163</v>
      </c>
      <c r="BF79" s="514" t="s">
        <v>163</v>
      </c>
      <c r="BG79" s="515">
        <v>2024.0234</v>
      </c>
      <c r="BH79" s="516" t="s">
        <v>350</v>
      </c>
      <c r="BI79" s="516">
        <v>2.5</v>
      </c>
      <c r="BJ79" s="516" t="s">
        <v>320</v>
      </c>
      <c r="BK79" s="505">
        <v>2.5</v>
      </c>
      <c r="BL79" s="517" t="s">
        <v>321</v>
      </c>
      <c r="BM79" s="486" t="s">
        <v>588</v>
      </c>
      <c r="BN79" s="486" t="s">
        <v>1571</v>
      </c>
      <c r="BO79" s="486" t="s">
        <v>1572</v>
      </c>
      <c r="BP79" s="486" t="s">
        <v>1636</v>
      </c>
      <c r="BQ79" s="486" t="s">
        <v>1651</v>
      </c>
      <c r="BR79" s="486" t="s">
        <v>1649</v>
      </c>
      <c r="BS79" s="486" t="s">
        <v>564</v>
      </c>
      <c r="BT79" s="486" t="s">
        <v>565</v>
      </c>
      <c r="BU79" s="486" t="s">
        <v>566</v>
      </c>
      <c r="BV79" s="486" t="s">
        <v>567</v>
      </c>
      <c r="BW79" s="486" t="s">
        <v>568</v>
      </c>
      <c r="BX79" s="486" t="s">
        <v>569</v>
      </c>
      <c r="BY79" s="486" t="s">
        <v>570</v>
      </c>
      <c r="BZ79" s="486"/>
      <c r="CA79" s="486"/>
      <c r="CB79" s="486"/>
      <c r="CC79" s="486"/>
      <c r="CD79" s="682"/>
      <c r="CE79" s="487" t="s">
        <v>2091</v>
      </c>
      <c r="CH79" s="487">
        <f t="shared" si="5"/>
        <v>7</v>
      </c>
    </row>
    <row r="80" spans="1:86" x14ac:dyDescent="0.25">
      <c r="A80" s="192" t="s">
        <v>95</v>
      </c>
      <c r="B80" s="193">
        <v>432</v>
      </c>
      <c r="C80" s="343" t="s">
        <v>336</v>
      </c>
      <c r="D80" s="196">
        <v>2</v>
      </c>
      <c r="E80" s="197" t="s">
        <v>1915</v>
      </c>
      <c r="F80" s="197"/>
      <c r="G80" s="197"/>
      <c r="H80" s="197" t="s">
        <v>2009</v>
      </c>
      <c r="I80" s="198" t="s">
        <v>1861</v>
      </c>
      <c r="J80" s="198" t="s">
        <v>1162</v>
      </c>
      <c r="K80" s="198" t="s">
        <v>631</v>
      </c>
      <c r="L80" s="199">
        <v>0.2</v>
      </c>
      <c r="M80" s="199">
        <v>0.1</v>
      </c>
      <c r="N80" s="199">
        <v>0.1</v>
      </c>
      <c r="O80" s="199">
        <v>0.1</v>
      </c>
      <c r="P80" s="199">
        <v>0.2</v>
      </c>
      <c r="Q80" s="200">
        <v>0.1</v>
      </c>
      <c r="R80" s="201" t="s">
        <v>901</v>
      </c>
      <c r="S80" s="202" t="s">
        <v>1380</v>
      </c>
      <c r="T80" s="203"/>
      <c r="U80" s="204">
        <v>1.5</v>
      </c>
      <c r="V80" s="205"/>
      <c r="W80" s="205"/>
      <c r="X80" s="205"/>
      <c r="Y80" s="205"/>
      <c r="Z80" s="224" t="s">
        <v>1735</v>
      </c>
      <c r="AA80" s="206" t="s">
        <v>1729</v>
      </c>
      <c r="AB80" s="206" t="s">
        <v>182</v>
      </c>
      <c r="AC80" s="200">
        <v>1.75</v>
      </c>
      <c r="AD80" s="205"/>
      <c r="AE80" s="205"/>
      <c r="AF80" s="205"/>
      <c r="AG80" s="205"/>
      <c r="AH80" s="205"/>
      <c r="AI80" s="205"/>
      <c r="AJ80" s="207" t="s">
        <v>163</v>
      </c>
      <c r="AK80" s="204" t="s">
        <v>163</v>
      </c>
      <c r="AL80" s="208" t="s">
        <v>573</v>
      </c>
      <c r="AM80" s="209">
        <v>1.5</v>
      </c>
      <c r="AN80" s="223" t="s">
        <v>1239</v>
      </c>
      <c r="AO80" s="203">
        <v>0</v>
      </c>
      <c r="AP80" s="351" t="s">
        <v>709</v>
      </c>
      <c r="AQ80" s="204" t="s">
        <v>163</v>
      </c>
      <c r="AR80" s="211" t="s">
        <v>508</v>
      </c>
      <c r="AS80" s="211" t="s">
        <v>1842</v>
      </c>
      <c r="AT80" s="212">
        <f t="shared" si="6"/>
        <v>2</v>
      </c>
      <c r="AU80" s="213" t="s">
        <v>317</v>
      </c>
      <c r="AV80" s="195" t="s">
        <v>1314</v>
      </c>
      <c r="AW80" s="195">
        <v>0</v>
      </c>
      <c r="AX80" s="195">
        <v>0</v>
      </c>
      <c r="AY80" s="195">
        <v>1.5</v>
      </c>
      <c r="AZ80" s="195">
        <v>0</v>
      </c>
      <c r="BA80" s="214" t="s">
        <v>172</v>
      </c>
      <c r="BB80" s="215" t="s">
        <v>163</v>
      </c>
      <c r="BC80" s="216" t="s">
        <v>163</v>
      </c>
      <c r="BD80" s="208" t="s">
        <v>163</v>
      </c>
      <c r="BE80" s="217" t="s">
        <v>163</v>
      </c>
      <c r="BF80" s="218" t="s">
        <v>163</v>
      </c>
      <c r="BG80" s="219">
        <v>2024.019</v>
      </c>
      <c r="BH80" s="220" t="s">
        <v>350</v>
      </c>
      <c r="BI80" s="220">
        <v>1.5</v>
      </c>
      <c r="BJ80" s="220" t="s">
        <v>320</v>
      </c>
      <c r="BK80" s="209">
        <v>1.5</v>
      </c>
      <c r="BL80" s="221" t="s">
        <v>321</v>
      </c>
      <c r="BM80" s="191" t="s">
        <v>507</v>
      </c>
      <c r="BN80" s="191" t="s">
        <v>1573</v>
      </c>
      <c r="BO80" s="191" t="s">
        <v>1574</v>
      </c>
      <c r="BP80" s="191" t="s">
        <v>1637</v>
      </c>
      <c r="BQ80" s="191" t="s">
        <v>1651</v>
      </c>
      <c r="BR80" s="191" t="s">
        <v>1647</v>
      </c>
      <c r="BS80" s="163" t="s">
        <v>589</v>
      </c>
      <c r="BT80" s="163" t="s">
        <v>590</v>
      </c>
      <c r="BU80" s="163" t="s">
        <v>591</v>
      </c>
      <c r="BV80" s="163" t="s">
        <v>592</v>
      </c>
      <c r="BW80" s="163" t="s">
        <v>593</v>
      </c>
      <c r="BX80" s="163" t="s">
        <v>594</v>
      </c>
      <c r="BY80" s="163" t="s">
        <v>595</v>
      </c>
      <c r="BZ80" s="163" t="s">
        <v>596</v>
      </c>
      <c r="CA80" s="163" t="s">
        <v>597</v>
      </c>
      <c r="CB80" s="163"/>
      <c r="CC80" s="163"/>
      <c r="CD80" s="681"/>
      <c r="CE80" s="11" t="s">
        <v>2091</v>
      </c>
      <c r="CH80" s="11">
        <f t="shared" si="5"/>
        <v>9</v>
      </c>
    </row>
    <row r="81" spans="1:146" s="487" customFormat="1" x14ac:dyDescent="0.25">
      <c r="A81" s="488" t="s">
        <v>96</v>
      </c>
      <c r="B81" s="489">
        <v>433</v>
      </c>
      <c r="C81" s="597" t="s">
        <v>324</v>
      </c>
      <c r="D81" s="492">
        <v>3</v>
      </c>
      <c r="E81" s="493" t="s">
        <v>1915</v>
      </c>
      <c r="F81" s="493"/>
      <c r="G81" s="493"/>
      <c r="H81" s="493" t="s">
        <v>2050</v>
      </c>
      <c r="I81" s="494" t="s">
        <v>1874</v>
      </c>
      <c r="J81" s="494" t="s">
        <v>1163</v>
      </c>
      <c r="K81" s="494" t="s">
        <v>679</v>
      </c>
      <c r="L81" s="495">
        <v>0.3</v>
      </c>
      <c r="M81" s="495">
        <v>0.3</v>
      </c>
      <c r="N81" s="495">
        <v>0</v>
      </c>
      <c r="O81" s="495">
        <v>0</v>
      </c>
      <c r="P81" s="495">
        <v>0.3</v>
      </c>
      <c r="Q81" s="496">
        <v>0</v>
      </c>
      <c r="R81" s="497" t="s">
        <v>901</v>
      </c>
      <c r="S81" s="498" t="s">
        <v>1381</v>
      </c>
      <c r="T81" s="499"/>
      <c r="U81" s="500">
        <v>2.5</v>
      </c>
      <c r="V81" s="501"/>
      <c r="W81" s="501"/>
      <c r="X81" s="501"/>
      <c r="Y81" s="501"/>
      <c r="Z81" s="498" t="s">
        <v>172</v>
      </c>
      <c r="AA81" s="502"/>
      <c r="AB81" s="502"/>
      <c r="AC81" s="500"/>
      <c r="AD81" s="501"/>
      <c r="AE81" s="501"/>
      <c r="AF81" s="501"/>
      <c r="AG81" s="501"/>
      <c r="AH81" s="501"/>
      <c r="AI81" s="501"/>
      <c r="AJ81" s="503" t="s">
        <v>163</v>
      </c>
      <c r="AK81" s="500" t="s">
        <v>163</v>
      </c>
      <c r="AL81" s="504" t="s">
        <v>172</v>
      </c>
      <c r="AM81" s="505" t="s">
        <v>172</v>
      </c>
      <c r="AN81" s="520" t="s">
        <v>173</v>
      </c>
      <c r="AO81" s="499" t="s">
        <v>173</v>
      </c>
      <c r="AP81" s="506" t="s">
        <v>173</v>
      </c>
      <c r="AQ81" s="500" t="s">
        <v>163</v>
      </c>
      <c r="AR81" s="507" t="s">
        <v>172</v>
      </c>
      <c r="AS81" s="507" t="s">
        <v>1843</v>
      </c>
      <c r="AT81" s="499">
        <v>3</v>
      </c>
      <c r="AU81" s="509" t="s">
        <v>317</v>
      </c>
      <c r="AV81" s="491" t="s">
        <v>1315</v>
      </c>
      <c r="AW81" s="491">
        <v>0</v>
      </c>
      <c r="AX81" s="491">
        <v>2.5</v>
      </c>
      <c r="AY81" s="491">
        <v>2.5</v>
      </c>
      <c r="AZ81" s="491">
        <v>0</v>
      </c>
      <c r="BA81" s="510" t="s">
        <v>172</v>
      </c>
      <c r="BB81" s="511" t="s">
        <v>163</v>
      </c>
      <c r="BC81" s="512" t="s">
        <v>163</v>
      </c>
      <c r="BD81" s="504" t="s">
        <v>163</v>
      </c>
      <c r="BE81" s="513" t="s">
        <v>163</v>
      </c>
      <c r="BF81" s="514" t="s">
        <v>163</v>
      </c>
      <c r="BG81" s="515">
        <v>2024.0211999999999</v>
      </c>
      <c r="BH81" s="513" t="s">
        <v>350</v>
      </c>
      <c r="BI81" s="516">
        <v>2.5</v>
      </c>
      <c r="BJ81" s="516" t="s">
        <v>320</v>
      </c>
      <c r="BK81" s="505">
        <v>2.5</v>
      </c>
      <c r="BL81" s="517" t="s">
        <v>320</v>
      </c>
      <c r="BM81" s="485" t="s">
        <v>1149</v>
      </c>
      <c r="BN81" s="485" t="s">
        <v>1575</v>
      </c>
      <c r="BO81" s="485" t="s">
        <v>1576</v>
      </c>
      <c r="BP81" s="485" t="s">
        <v>1638</v>
      </c>
      <c r="BQ81" s="485" t="s">
        <v>1651</v>
      </c>
      <c r="BR81" s="485" t="s">
        <v>1647</v>
      </c>
      <c r="BS81" s="486" t="s">
        <v>2081</v>
      </c>
      <c r="BT81" s="486" t="s">
        <v>2082</v>
      </c>
      <c r="BU81" s="486" t="s">
        <v>2083</v>
      </c>
      <c r="BV81" s="486" t="s">
        <v>2084</v>
      </c>
      <c r="BW81" s="486" t="s">
        <v>2085</v>
      </c>
      <c r="BX81" s="486" t="s">
        <v>2086</v>
      </c>
      <c r="BY81" s="486" t="s">
        <v>2087</v>
      </c>
      <c r="BZ81" s="486"/>
      <c r="CA81" s="486"/>
      <c r="CB81" s="486"/>
      <c r="CC81" s="486"/>
      <c r="CD81" s="682"/>
      <c r="CE81" s="487" t="s">
        <v>2091</v>
      </c>
      <c r="CH81" s="487">
        <f t="shared" si="5"/>
        <v>7</v>
      </c>
    </row>
    <row r="82" spans="1:146" x14ac:dyDescent="0.25">
      <c r="A82" s="192" t="s">
        <v>97</v>
      </c>
      <c r="B82" s="193">
        <v>434</v>
      </c>
      <c r="C82" s="343" t="s">
        <v>47</v>
      </c>
      <c r="D82" s="196">
        <v>2</v>
      </c>
      <c r="E82" s="197" t="s">
        <v>1917</v>
      </c>
      <c r="F82" s="197"/>
      <c r="G82" s="197"/>
      <c r="H82" s="197" t="s">
        <v>1987</v>
      </c>
      <c r="I82" s="198" t="s">
        <v>1862</v>
      </c>
      <c r="J82" s="198" t="s">
        <v>1161</v>
      </c>
      <c r="K82" s="198" t="s">
        <v>680</v>
      </c>
      <c r="L82" s="199">
        <v>0.2</v>
      </c>
      <c r="M82" s="199">
        <v>0.2</v>
      </c>
      <c r="N82" s="199">
        <v>0.2</v>
      </c>
      <c r="O82" s="199">
        <v>0.2</v>
      </c>
      <c r="P82" s="199">
        <v>0.2</v>
      </c>
      <c r="Q82" s="200">
        <v>0.2</v>
      </c>
      <c r="R82" s="201" t="s">
        <v>901</v>
      </c>
      <c r="S82" s="202" t="s">
        <v>1349</v>
      </c>
      <c r="T82" s="203">
        <v>2</v>
      </c>
      <c r="U82" s="204"/>
      <c r="V82" s="205"/>
      <c r="W82" s="205"/>
      <c r="X82" s="205"/>
      <c r="Y82" s="205"/>
      <c r="Z82" s="202" t="s">
        <v>163</v>
      </c>
      <c r="AA82" s="206"/>
      <c r="AB82" s="206"/>
      <c r="AC82" s="204"/>
      <c r="AD82" s="205"/>
      <c r="AE82" s="205"/>
      <c r="AF82" s="205"/>
      <c r="AG82" s="205"/>
      <c r="AH82" s="205"/>
      <c r="AI82" s="205"/>
      <c r="AJ82" s="207" t="s">
        <v>163</v>
      </c>
      <c r="AK82" s="204" t="s">
        <v>163</v>
      </c>
      <c r="AL82" s="208" t="s">
        <v>574</v>
      </c>
      <c r="AM82" s="209">
        <v>2</v>
      </c>
      <c r="AN82" s="202" t="s">
        <v>1240</v>
      </c>
      <c r="AO82" s="203">
        <v>0</v>
      </c>
      <c r="AP82" s="210" t="s">
        <v>23</v>
      </c>
      <c r="AQ82" s="204" t="s">
        <v>163</v>
      </c>
      <c r="AR82" s="211" t="s">
        <v>241</v>
      </c>
      <c r="AS82" s="211" t="s">
        <v>1844</v>
      </c>
      <c r="AT82" s="212">
        <f>L82*10</f>
        <v>2</v>
      </c>
      <c r="AU82" s="213" t="s">
        <v>317</v>
      </c>
      <c r="AV82" s="195" t="s">
        <v>1316</v>
      </c>
      <c r="AW82" s="195">
        <v>2</v>
      </c>
      <c r="AX82" s="195">
        <v>2</v>
      </c>
      <c r="AY82" s="195">
        <v>2</v>
      </c>
      <c r="AZ82" s="195">
        <v>2</v>
      </c>
      <c r="BA82" s="214" t="s">
        <v>172</v>
      </c>
      <c r="BB82" s="215" t="s">
        <v>163</v>
      </c>
      <c r="BC82" s="216" t="s">
        <v>163</v>
      </c>
      <c r="BD82" s="208" t="s">
        <v>163</v>
      </c>
      <c r="BE82" s="217" t="s">
        <v>163</v>
      </c>
      <c r="BF82" s="218" t="s">
        <v>163</v>
      </c>
      <c r="BG82" s="219">
        <v>2024.0178000000001</v>
      </c>
      <c r="BH82" s="220" t="s">
        <v>348</v>
      </c>
      <c r="BI82" s="220">
        <v>2</v>
      </c>
      <c r="BJ82" s="220" t="s">
        <v>320</v>
      </c>
      <c r="BK82" s="209">
        <v>2</v>
      </c>
      <c r="BL82" s="221" t="s">
        <v>321</v>
      </c>
      <c r="BM82" s="191" t="s">
        <v>239</v>
      </c>
      <c r="BN82" s="191" t="s">
        <v>1577</v>
      </c>
      <c r="BO82" s="191" t="s">
        <v>1578</v>
      </c>
      <c r="BP82" s="191" t="s">
        <v>1639</v>
      </c>
      <c r="BQ82" s="191" t="s">
        <v>1653</v>
      </c>
      <c r="BR82" s="191" t="s">
        <v>1647</v>
      </c>
      <c r="BS82" s="163" t="s">
        <v>598</v>
      </c>
      <c r="BT82" s="163" t="s">
        <v>599</v>
      </c>
      <c r="BU82" s="163" t="s">
        <v>600</v>
      </c>
      <c r="BV82" s="163" t="s">
        <v>601</v>
      </c>
      <c r="BW82" s="163"/>
      <c r="BX82" s="163"/>
      <c r="BY82" s="163"/>
      <c r="BZ82" s="163"/>
      <c r="CA82" s="163"/>
      <c r="CB82" s="163"/>
      <c r="CC82" s="163"/>
      <c r="CD82" s="681"/>
      <c r="CE82" s="11" t="s">
        <v>2091</v>
      </c>
      <c r="CH82" s="11">
        <f t="shared" si="5"/>
        <v>4</v>
      </c>
    </row>
    <row r="83" spans="1:146" s="522" customFormat="1" x14ac:dyDescent="0.25">
      <c r="A83" s="454" t="s">
        <v>1882</v>
      </c>
      <c r="B83" s="455"/>
      <c r="C83" s="596" t="s">
        <v>2031</v>
      </c>
      <c r="D83" s="524">
        <v>1</v>
      </c>
      <c r="E83" s="467"/>
      <c r="F83" s="467"/>
      <c r="G83" s="467"/>
      <c r="H83" s="467" t="s">
        <v>2024</v>
      </c>
      <c r="I83" s="460"/>
      <c r="J83" s="460"/>
      <c r="K83" s="460"/>
      <c r="L83" s="461">
        <v>0.1</v>
      </c>
      <c r="M83" s="461">
        <v>0.1</v>
      </c>
      <c r="N83" s="461">
        <v>0.1</v>
      </c>
      <c r="O83" s="461">
        <v>0.1</v>
      </c>
      <c r="P83" s="461">
        <v>0.1</v>
      </c>
      <c r="Q83" s="462">
        <v>0</v>
      </c>
      <c r="R83" s="463" t="s">
        <v>901</v>
      </c>
      <c r="S83" s="464" t="s">
        <v>2063</v>
      </c>
      <c r="T83" s="465"/>
      <c r="U83" s="466"/>
      <c r="V83" s="467"/>
      <c r="W83" s="467"/>
      <c r="X83" s="467"/>
      <c r="Y83" s="467"/>
      <c r="Z83" s="464" t="s">
        <v>163</v>
      </c>
      <c r="AA83" s="469"/>
      <c r="AB83" s="469"/>
      <c r="AC83" s="466"/>
      <c r="AD83" s="467"/>
      <c r="AE83" s="467"/>
      <c r="AF83" s="467"/>
      <c r="AG83" s="467"/>
      <c r="AH83" s="467"/>
      <c r="AI83" s="467"/>
      <c r="AJ83" s="470" t="s">
        <v>163</v>
      </c>
      <c r="AK83" s="466" t="s">
        <v>163</v>
      </c>
      <c r="AL83" s="471" t="s">
        <v>571</v>
      </c>
      <c r="AM83" s="472">
        <v>1</v>
      </c>
      <c r="AN83" s="464" t="s">
        <v>2144</v>
      </c>
      <c r="AO83" s="465">
        <v>1</v>
      </c>
      <c r="AP83" s="473" t="s">
        <v>23</v>
      </c>
      <c r="AQ83" s="466" t="s">
        <v>163</v>
      </c>
      <c r="AR83" s="474"/>
      <c r="AS83" s="474" t="s">
        <v>2032</v>
      </c>
      <c r="AT83" s="475">
        <f>L83*10</f>
        <v>1</v>
      </c>
      <c r="AU83" s="476" t="s">
        <v>317</v>
      </c>
      <c r="AV83" s="457" t="s">
        <v>163</v>
      </c>
      <c r="AW83" s="457" t="s">
        <v>163</v>
      </c>
      <c r="AX83" s="457" t="s">
        <v>163</v>
      </c>
      <c r="AY83" s="457" t="s">
        <v>163</v>
      </c>
      <c r="AZ83" s="457" t="s">
        <v>163</v>
      </c>
      <c r="BA83" s="527"/>
      <c r="BB83" s="478" t="s">
        <v>163</v>
      </c>
      <c r="BC83" s="479" t="s">
        <v>163</v>
      </c>
      <c r="BD83" s="471" t="s">
        <v>163</v>
      </c>
      <c r="BE83" s="480" t="s">
        <v>163</v>
      </c>
      <c r="BF83" s="481" t="s">
        <v>163</v>
      </c>
      <c r="BG83" s="482" t="s">
        <v>163</v>
      </c>
      <c r="BH83" s="483" t="s">
        <v>163</v>
      </c>
      <c r="BI83" s="483" t="s">
        <v>163</v>
      </c>
      <c r="BJ83" s="483" t="s">
        <v>163</v>
      </c>
      <c r="BK83" s="472" t="s">
        <v>163</v>
      </c>
      <c r="BL83" s="484" t="s">
        <v>163</v>
      </c>
      <c r="BM83" s="485" t="s">
        <v>2041</v>
      </c>
      <c r="BN83" s="485"/>
      <c r="BO83" s="485"/>
      <c r="BP83" s="485"/>
      <c r="BQ83" s="485"/>
      <c r="BR83" s="485"/>
      <c r="BS83" s="486" t="s">
        <v>2042</v>
      </c>
      <c r="BT83" s="486" t="s">
        <v>2043</v>
      </c>
      <c r="BU83" s="486"/>
      <c r="BV83" s="486"/>
      <c r="BW83" s="486"/>
      <c r="BX83" s="486"/>
      <c r="BY83" s="486"/>
      <c r="BZ83" s="486"/>
      <c r="CA83" s="486"/>
      <c r="CB83" s="486"/>
      <c r="CC83" s="486"/>
      <c r="CD83" s="682"/>
      <c r="CE83" s="487" t="s">
        <v>2091</v>
      </c>
      <c r="CF83" s="487"/>
      <c r="CG83" s="487"/>
      <c r="CH83" s="487">
        <f t="shared" si="5"/>
        <v>2</v>
      </c>
      <c r="CI83" s="487"/>
      <c r="CJ83" s="487"/>
      <c r="CK83" s="487"/>
      <c r="CL83" s="487"/>
      <c r="CM83" s="487"/>
      <c r="CN83" s="487"/>
      <c r="CO83" s="487"/>
      <c r="CP83" s="487"/>
      <c r="CQ83" s="487"/>
      <c r="CR83" s="487"/>
      <c r="CS83" s="487"/>
      <c r="CT83" s="487"/>
      <c r="CU83" s="487"/>
      <c r="CV83" s="487"/>
      <c r="CW83" s="487"/>
      <c r="CX83" s="487"/>
      <c r="CY83" s="487"/>
      <c r="CZ83" s="487"/>
      <c r="DA83" s="487"/>
      <c r="DB83" s="487"/>
      <c r="DC83" s="487"/>
      <c r="DD83" s="487"/>
      <c r="DE83" s="487"/>
      <c r="DF83" s="487"/>
      <c r="DG83" s="487"/>
      <c r="DH83" s="487"/>
      <c r="DI83" s="487"/>
      <c r="DJ83" s="487"/>
      <c r="DK83" s="487"/>
      <c r="DL83" s="487"/>
      <c r="DM83" s="487"/>
      <c r="DN83" s="487"/>
      <c r="DO83" s="487"/>
      <c r="DP83" s="487"/>
      <c r="DQ83" s="487"/>
      <c r="DR83" s="487"/>
      <c r="DS83" s="487"/>
      <c r="DT83" s="487"/>
      <c r="DU83" s="487"/>
      <c r="DV83" s="487"/>
      <c r="DW83" s="487"/>
      <c r="DX83" s="487"/>
      <c r="DY83" s="487"/>
      <c r="DZ83" s="487"/>
      <c r="EA83" s="487"/>
      <c r="EB83" s="487"/>
      <c r="EC83" s="487"/>
      <c r="ED83" s="487"/>
      <c r="EE83" s="487"/>
      <c r="EF83" s="487"/>
      <c r="EG83" s="487"/>
      <c r="EH83" s="487"/>
      <c r="EI83" s="487"/>
      <c r="EJ83" s="487"/>
      <c r="EK83" s="487"/>
      <c r="EL83" s="487"/>
      <c r="EM83" s="487"/>
      <c r="EN83" s="487"/>
      <c r="EO83" s="487"/>
      <c r="EP83" s="487"/>
    </row>
    <row r="84" spans="1:146" s="355" customFormat="1" x14ac:dyDescent="0.25">
      <c r="A84" s="192" t="s">
        <v>2023</v>
      </c>
      <c r="B84" s="193"/>
      <c r="C84" s="343" t="s">
        <v>2030</v>
      </c>
      <c r="D84" s="196">
        <v>1</v>
      </c>
      <c r="E84" s="205"/>
      <c r="F84" s="205"/>
      <c r="G84" s="205"/>
      <c r="H84" s="205" t="s">
        <v>2025</v>
      </c>
      <c r="I84" s="198"/>
      <c r="J84" s="198"/>
      <c r="K84" s="198"/>
      <c r="L84" s="199">
        <v>0.1</v>
      </c>
      <c r="M84" s="199">
        <v>0.1</v>
      </c>
      <c r="N84" s="199">
        <v>0.1</v>
      </c>
      <c r="O84" s="199">
        <v>0.1</v>
      </c>
      <c r="P84" s="199">
        <v>0.1</v>
      </c>
      <c r="Q84" s="200">
        <v>0</v>
      </c>
      <c r="R84" s="201" t="s">
        <v>901</v>
      </c>
      <c r="S84" s="202" t="s">
        <v>2063</v>
      </c>
      <c r="T84" s="203"/>
      <c r="U84" s="204"/>
      <c r="V84" s="205"/>
      <c r="W84" s="205"/>
      <c r="X84" s="205"/>
      <c r="Y84" s="205"/>
      <c r="Z84" s="202" t="s">
        <v>163</v>
      </c>
      <c r="AA84" s="206"/>
      <c r="AB84" s="206"/>
      <c r="AC84" s="204"/>
      <c r="AD84" s="205"/>
      <c r="AE84" s="205"/>
      <c r="AF84" s="205"/>
      <c r="AG84" s="205"/>
      <c r="AH84" s="205"/>
      <c r="AI84" s="205"/>
      <c r="AJ84" s="207" t="s">
        <v>163</v>
      </c>
      <c r="AK84" s="204" t="s">
        <v>163</v>
      </c>
      <c r="AL84" s="208" t="s">
        <v>571</v>
      </c>
      <c r="AM84" s="209">
        <v>1</v>
      </c>
      <c r="AN84" s="202" t="s">
        <v>2145</v>
      </c>
      <c r="AO84" s="203">
        <v>1</v>
      </c>
      <c r="AP84" s="210" t="s">
        <v>23</v>
      </c>
      <c r="AQ84" s="204" t="s">
        <v>163</v>
      </c>
      <c r="AR84" s="211"/>
      <c r="AS84" s="211" t="s">
        <v>2033</v>
      </c>
      <c r="AT84" s="212">
        <f>L84*10</f>
        <v>1</v>
      </c>
      <c r="AU84" s="213" t="s">
        <v>317</v>
      </c>
      <c r="AV84" s="195" t="s">
        <v>163</v>
      </c>
      <c r="AW84" s="195" t="s">
        <v>163</v>
      </c>
      <c r="AX84" s="195" t="s">
        <v>163</v>
      </c>
      <c r="AY84" s="195" t="s">
        <v>163</v>
      </c>
      <c r="AZ84" s="195" t="s">
        <v>163</v>
      </c>
      <c r="BA84" s="214"/>
      <c r="BB84" s="215" t="s">
        <v>163</v>
      </c>
      <c r="BC84" s="216" t="s">
        <v>163</v>
      </c>
      <c r="BD84" s="208" t="s">
        <v>163</v>
      </c>
      <c r="BE84" s="217" t="s">
        <v>163</v>
      </c>
      <c r="BF84" s="218" t="s">
        <v>163</v>
      </c>
      <c r="BG84" s="219" t="s">
        <v>163</v>
      </c>
      <c r="BH84" s="220" t="s">
        <v>163</v>
      </c>
      <c r="BI84" s="220" t="s">
        <v>163</v>
      </c>
      <c r="BJ84" s="220" t="s">
        <v>163</v>
      </c>
      <c r="BK84" s="209" t="s">
        <v>163</v>
      </c>
      <c r="BL84" s="221" t="s">
        <v>163</v>
      </c>
      <c r="BM84" s="191" t="s">
        <v>2044</v>
      </c>
      <c r="BN84" s="191"/>
      <c r="BO84" s="191"/>
      <c r="BP84" s="191"/>
      <c r="BQ84" s="191"/>
      <c r="BR84" s="191"/>
      <c r="BS84" s="163" t="s">
        <v>2045</v>
      </c>
      <c r="BT84" s="163" t="s">
        <v>2046</v>
      </c>
      <c r="BU84" s="163"/>
      <c r="BV84" s="163"/>
      <c r="BW84" s="163"/>
      <c r="BX84" s="163"/>
      <c r="BY84" s="163"/>
      <c r="BZ84" s="163"/>
      <c r="CA84" s="163"/>
      <c r="CB84" s="163"/>
      <c r="CC84" s="163"/>
      <c r="CD84" s="681"/>
      <c r="CE84" s="11" t="s">
        <v>2091</v>
      </c>
      <c r="CF84" s="11"/>
      <c r="CG84" s="11"/>
      <c r="CH84" s="11">
        <f t="shared" si="5"/>
        <v>2</v>
      </c>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row>
    <row r="85" spans="1:146" s="608" customFormat="1" x14ac:dyDescent="0.25">
      <c r="A85" s="488" t="s">
        <v>2027</v>
      </c>
      <c r="B85" s="489"/>
      <c r="C85" s="597" t="s">
        <v>2029</v>
      </c>
      <c r="D85" s="492">
        <v>1</v>
      </c>
      <c r="E85" s="501"/>
      <c r="F85" s="501"/>
      <c r="G85" s="501"/>
      <c r="H85" s="501" t="s">
        <v>2026</v>
      </c>
      <c r="I85" s="494"/>
      <c r="J85" s="494"/>
      <c r="K85" s="494"/>
      <c r="L85" s="495">
        <v>0.1</v>
      </c>
      <c r="M85" s="495">
        <v>0.1</v>
      </c>
      <c r="N85" s="495">
        <v>0.1</v>
      </c>
      <c r="O85" s="495">
        <v>0.1</v>
      </c>
      <c r="P85" s="495">
        <v>0.1</v>
      </c>
      <c r="Q85" s="496">
        <v>0</v>
      </c>
      <c r="R85" s="497" t="s">
        <v>901</v>
      </c>
      <c r="S85" s="498" t="s">
        <v>2063</v>
      </c>
      <c r="T85" s="499"/>
      <c r="U85" s="500"/>
      <c r="V85" s="501"/>
      <c r="W85" s="501"/>
      <c r="X85" s="501"/>
      <c r="Y85" s="501"/>
      <c r="Z85" s="498" t="s">
        <v>163</v>
      </c>
      <c r="AA85" s="502"/>
      <c r="AB85" s="502"/>
      <c r="AC85" s="500"/>
      <c r="AD85" s="501"/>
      <c r="AE85" s="501"/>
      <c r="AF85" s="501"/>
      <c r="AG85" s="501"/>
      <c r="AH85" s="501"/>
      <c r="AI85" s="501"/>
      <c r="AJ85" s="503" t="s">
        <v>163</v>
      </c>
      <c r="AK85" s="500" t="s">
        <v>163</v>
      </c>
      <c r="AL85" s="504" t="s">
        <v>571</v>
      </c>
      <c r="AM85" s="505">
        <v>1</v>
      </c>
      <c r="AN85" s="498" t="s">
        <v>2146</v>
      </c>
      <c r="AO85" s="499">
        <v>1</v>
      </c>
      <c r="AP85" s="506" t="s">
        <v>23</v>
      </c>
      <c r="AQ85" s="500" t="s">
        <v>163</v>
      </c>
      <c r="AR85" s="507"/>
      <c r="AS85" s="507" t="s">
        <v>2034</v>
      </c>
      <c r="AT85" s="508">
        <f>L85*10</f>
        <v>1</v>
      </c>
      <c r="AU85" s="509" t="s">
        <v>317</v>
      </c>
      <c r="AV85" s="491" t="s">
        <v>163</v>
      </c>
      <c r="AW85" s="491" t="s">
        <v>163</v>
      </c>
      <c r="AX85" s="491" t="s">
        <v>163</v>
      </c>
      <c r="AY85" s="491" t="s">
        <v>163</v>
      </c>
      <c r="AZ85" s="491" t="s">
        <v>163</v>
      </c>
      <c r="BA85" s="510"/>
      <c r="BB85" s="511" t="s">
        <v>163</v>
      </c>
      <c r="BC85" s="512" t="s">
        <v>163</v>
      </c>
      <c r="BD85" s="504" t="s">
        <v>163</v>
      </c>
      <c r="BE85" s="513" t="s">
        <v>163</v>
      </c>
      <c r="BF85" s="514" t="s">
        <v>163</v>
      </c>
      <c r="BG85" s="515" t="s">
        <v>163</v>
      </c>
      <c r="BH85" s="516" t="s">
        <v>163</v>
      </c>
      <c r="BI85" s="516" t="s">
        <v>163</v>
      </c>
      <c r="BJ85" s="516" t="s">
        <v>163</v>
      </c>
      <c r="BK85" s="505" t="s">
        <v>163</v>
      </c>
      <c r="BL85" s="517" t="s">
        <v>163</v>
      </c>
      <c r="BM85" s="485" t="s">
        <v>2035</v>
      </c>
      <c r="BR85" s="485"/>
      <c r="BS85" s="485" t="s">
        <v>2036</v>
      </c>
      <c r="BT85" s="485" t="s">
        <v>2037</v>
      </c>
      <c r="BU85" s="485" t="s">
        <v>2038</v>
      </c>
      <c r="BV85" s="485" t="s">
        <v>2039</v>
      </c>
      <c r="BW85" s="486" t="s">
        <v>2040</v>
      </c>
      <c r="BX85" s="486"/>
      <c r="BY85" s="486"/>
      <c r="BZ85" s="486"/>
      <c r="CA85" s="486"/>
      <c r="CB85" s="486"/>
      <c r="CC85" s="486"/>
      <c r="CD85" s="682"/>
      <c r="CE85" s="487" t="s">
        <v>2091</v>
      </c>
      <c r="CF85" s="487"/>
      <c r="CG85" s="487"/>
      <c r="CH85" s="487">
        <f t="shared" si="5"/>
        <v>5</v>
      </c>
      <c r="CI85" s="487"/>
      <c r="CJ85" s="487"/>
      <c r="CK85" s="487"/>
      <c r="CL85" s="487"/>
      <c r="CM85" s="487"/>
      <c r="CN85" s="487"/>
      <c r="CO85" s="487"/>
      <c r="CP85" s="487"/>
      <c r="CQ85" s="487"/>
      <c r="CR85" s="487"/>
      <c r="CS85" s="487"/>
      <c r="CT85" s="487"/>
      <c r="CU85" s="487"/>
      <c r="CV85" s="487"/>
      <c r="CW85" s="487"/>
      <c r="CX85" s="487"/>
      <c r="CY85" s="487"/>
      <c r="CZ85" s="487"/>
      <c r="DA85" s="487"/>
      <c r="DB85" s="487"/>
      <c r="DC85" s="487"/>
      <c r="DD85" s="487"/>
      <c r="DE85" s="487"/>
      <c r="DF85" s="487"/>
      <c r="DG85" s="487"/>
      <c r="DH85" s="487"/>
      <c r="DI85" s="487"/>
      <c r="DJ85" s="487"/>
      <c r="DK85" s="487"/>
      <c r="DL85" s="487"/>
      <c r="DM85" s="487"/>
      <c r="DN85" s="487"/>
      <c r="DO85" s="487"/>
      <c r="DP85" s="487"/>
      <c r="DQ85" s="487"/>
      <c r="DR85" s="487"/>
      <c r="DS85" s="487"/>
      <c r="DT85" s="487"/>
      <c r="DU85" s="487"/>
      <c r="DV85" s="487"/>
      <c r="DW85" s="487"/>
      <c r="DX85" s="487"/>
      <c r="DY85" s="487"/>
      <c r="DZ85" s="487"/>
      <c r="EA85" s="487"/>
      <c r="EB85" s="487"/>
      <c r="EC85" s="487"/>
      <c r="ED85" s="487"/>
      <c r="EE85" s="487"/>
      <c r="EF85" s="487"/>
      <c r="EG85" s="487"/>
      <c r="EH85" s="487"/>
      <c r="EI85" s="487"/>
      <c r="EJ85" s="487"/>
      <c r="EK85" s="487"/>
      <c r="EL85" s="487"/>
      <c r="EM85" s="487"/>
      <c r="EN85" s="487"/>
      <c r="EO85" s="487"/>
      <c r="EP85" s="487"/>
    </row>
    <row r="86" spans="1:146" ht="27" thickBot="1" x14ac:dyDescent="0.3">
      <c r="A86" s="230" t="s">
        <v>2028</v>
      </c>
      <c r="B86" s="335"/>
      <c r="C86" s="356" t="s">
        <v>1896</v>
      </c>
      <c r="D86" s="234">
        <v>2</v>
      </c>
      <c r="H86" s="336" t="s">
        <v>2002</v>
      </c>
      <c r="I86" s="236" t="s">
        <v>1891</v>
      </c>
      <c r="J86" s="236"/>
      <c r="K86" s="236"/>
      <c r="L86" s="237">
        <v>0.2</v>
      </c>
      <c r="M86" s="237">
        <v>0</v>
      </c>
      <c r="N86" s="237">
        <v>0</v>
      </c>
      <c r="O86" s="237">
        <v>0</v>
      </c>
      <c r="P86" s="237">
        <v>0.2</v>
      </c>
      <c r="Q86" s="238">
        <v>0.2</v>
      </c>
      <c r="R86" s="239" t="s">
        <v>901</v>
      </c>
      <c r="S86" s="337" t="s">
        <v>2063</v>
      </c>
      <c r="T86" s="248"/>
      <c r="U86" s="250"/>
      <c r="Z86" s="337" t="s">
        <v>163</v>
      </c>
      <c r="AA86" s="338"/>
      <c r="AB86" s="338"/>
      <c r="AC86" s="250"/>
      <c r="AJ86" s="339" t="s">
        <v>163</v>
      </c>
      <c r="AK86" s="250" t="s">
        <v>163</v>
      </c>
      <c r="AL86" s="245" t="s">
        <v>163</v>
      </c>
      <c r="AM86" s="246" t="s">
        <v>163</v>
      </c>
      <c r="AN86" s="337" t="s">
        <v>163</v>
      </c>
      <c r="AO86" s="248" t="s">
        <v>163</v>
      </c>
      <c r="AP86" s="249" t="s">
        <v>163</v>
      </c>
      <c r="AQ86" s="250" t="s">
        <v>163</v>
      </c>
      <c r="AR86" s="251"/>
      <c r="AS86" s="251" t="s">
        <v>1895</v>
      </c>
      <c r="AT86" s="252">
        <v>2</v>
      </c>
      <c r="AU86" s="253" t="s">
        <v>317</v>
      </c>
      <c r="AV86" s="233" t="s">
        <v>163</v>
      </c>
      <c r="AW86" s="233" t="s">
        <v>163</v>
      </c>
      <c r="AX86" s="233" t="s">
        <v>163</v>
      </c>
      <c r="AY86" s="233" t="s">
        <v>163</v>
      </c>
      <c r="AZ86" s="233" t="s">
        <v>163</v>
      </c>
      <c r="BA86" s="254"/>
      <c r="BB86" s="255" t="s">
        <v>163</v>
      </c>
      <c r="BC86" s="256" t="s">
        <v>163</v>
      </c>
      <c r="BD86" s="245" t="s">
        <v>163</v>
      </c>
      <c r="BE86" s="257" t="s">
        <v>163</v>
      </c>
      <c r="BF86" s="258" t="s">
        <v>163</v>
      </c>
      <c r="BG86" s="259">
        <v>2024.0183</v>
      </c>
      <c r="BH86" s="260" t="s">
        <v>350</v>
      </c>
      <c r="BI86" s="260">
        <v>2</v>
      </c>
      <c r="BJ86" s="260" t="s">
        <v>320</v>
      </c>
      <c r="BK86" s="246">
        <v>2</v>
      </c>
      <c r="BL86" s="261" t="s">
        <v>321</v>
      </c>
      <c r="BM86" s="357" t="s">
        <v>1890</v>
      </c>
      <c r="BN86" s="357"/>
      <c r="BO86" s="357"/>
      <c r="BP86" s="357"/>
      <c r="BQ86" s="357"/>
      <c r="BR86" s="357"/>
      <c r="BS86" s="271" t="s">
        <v>1883</v>
      </c>
      <c r="BT86" s="271" t="s">
        <v>1884</v>
      </c>
      <c r="BU86" s="271" t="s">
        <v>1885</v>
      </c>
      <c r="BV86" s="271" t="s">
        <v>1886</v>
      </c>
      <c r="BW86" s="271" t="s">
        <v>1887</v>
      </c>
      <c r="BX86" s="271" t="s">
        <v>1888</v>
      </c>
      <c r="BY86" s="271" t="s">
        <v>1889</v>
      </c>
      <c r="BZ86" s="271"/>
      <c r="CA86" s="271"/>
      <c r="CB86" s="271"/>
      <c r="CC86" s="271"/>
      <c r="CD86" s="686"/>
      <c r="CH86" s="11">
        <f t="shared" si="5"/>
        <v>7</v>
      </c>
    </row>
    <row r="87" spans="1:146" ht="13.8" thickBot="1" x14ac:dyDescent="0.3">
      <c r="A87" s="133"/>
      <c r="B87" s="134"/>
      <c r="C87" s="108" t="s">
        <v>511</v>
      </c>
      <c r="D87" s="265"/>
      <c r="E87" s="143"/>
      <c r="F87" s="143"/>
      <c r="G87" s="143"/>
      <c r="H87" s="143"/>
      <c r="I87" s="266"/>
      <c r="J87" s="266"/>
      <c r="K87" s="266"/>
      <c r="L87" s="136"/>
      <c r="M87" s="136"/>
      <c r="N87" s="136"/>
      <c r="O87" s="136"/>
      <c r="P87" s="136"/>
      <c r="Q87" s="138"/>
      <c r="R87" s="139"/>
      <c r="S87" s="140"/>
      <c r="T87" s="141"/>
      <c r="U87" s="142"/>
      <c r="V87" s="143"/>
      <c r="W87" s="143"/>
      <c r="X87" s="143"/>
      <c r="Y87" s="143"/>
      <c r="Z87" s="140"/>
      <c r="AA87" s="144"/>
      <c r="AB87" s="144"/>
      <c r="AC87" s="142"/>
      <c r="AD87" s="143"/>
      <c r="AE87" s="143"/>
      <c r="AF87" s="143"/>
      <c r="AG87" s="143"/>
      <c r="AH87" s="143"/>
      <c r="AI87" s="143"/>
      <c r="AJ87" s="145"/>
      <c r="AK87" s="142"/>
      <c r="AL87" s="146"/>
      <c r="AM87" s="147"/>
      <c r="AN87" s="140"/>
      <c r="AO87" s="141"/>
      <c r="AP87" s="341"/>
      <c r="AQ87" s="142"/>
      <c r="AR87" s="151"/>
      <c r="AS87" s="151"/>
      <c r="AT87" s="152"/>
      <c r="AU87" s="153"/>
      <c r="AV87" s="154"/>
      <c r="AW87" s="154"/>
      <c r="AX87" s="154"/>
      <c r="AY87" s="154"/>
      <c r="AZ87" s="154"/>
      <c r="BA87" s="155"/>
      <c r="BB87" s="268"/>
      <c r="BC87" s="156"/>
      <c r="BD87" s="146"/>
      <c r="BE87" s="157"/>
      <c r="BF87" s="158"/>
      <c r="BG87" s="159"/>
      <c r="BH87" s="160"/>
      <c r="BI87" s="160"/>
      <c r="BJ87" s="160"/>
      <c r="BK87" s="147"/>
      <c r="BL87" s="161"/>
      <c r="BM87" s="269"/>
      <c r="BN87" s="135"/>
      <c r="BO87" s="135"/>
      <c r="BP87" s="135"/>
      <c r="BQ87" s="135"/>
      <c r="BR87" s="135"/>
      <c r="BS87" s="270"/>
      <c r="BT87" s="270"/>
      <c r="BU87" s="270"/>
      <c r="BV87" s="270"/>
      <c r="BW87" s="270"/>
      <c r="BX87" s="270"/>
      <c r="BY87" s="270"/>
      <c r="BZ87" s="270"/>
      <c r="CA87" s="270"/>
      <c r="CB87" s="270"/>
      <c r="CC87" s="270"/>
      <c r="CD87" s="270"/>
    </row>
    <row r="88" spans="1:146" s="487" customFormat="1" x14ac:dyDescent="0.25">
      <c r="A88" s="488" t="s">
        <v>521</v>
      </c>
      <c r="B88" s="489">
        <v>435</v>
      </c>
      <c r="C88" s="597" t="s">
        <v>21</v>
      </c>
      <c r="D88" s="458">
        <v>2.5</v>
      </c>
      <c r="E88" s="459" t="s">
        <v>1917</v>
      </c>
      <c r="F88" s="459"/>
      <c r="G88" s="459"/>
      <c r="H88" s="459" t="s">
        <v>1952</v>
      </c>
      <c r="I88" s="494" t="s">
        <v>1775</v>
      </c>
      <c r="J88" s="494" t="s">
        <v>1093</v>
      </c>
      <c r="K88" s="494" t="s">
        <v>671</v>
      </c>
      <c r="L88" s="495">
        <v>0.25</v>
      </c>
      <c r="M88" s="495">
        <v>0.25</v>
      </c>
      <c r="N88" s="495">
        <v>0.25</v>
      </c>
      <c r="O88" s="495">
        <v>0.25</v>
      </c>
      <c r="P88" s="495">
        <v>0.25</v>
      </c>
      <c r="Q88" s="496">
        <v>0.25</v>
      </c>
      <c r="R88" s="497" t="s">
        <v>901</v>
      </c>
      <c r="S88" s="498" t="s">
        <v>1357</v>
      </c>
      <c r="T88" s="499"/>
      <c r="U88" s="500">
        <v>2</v>
      </c>
      <c r="V88" s="501"/>
      <c r="W88" s="501"/>
      <c r="X88" s="501"/>
      <c r="Y88" s="501"/>
      <c r="Z88" s="498" t="s">
        <v>227</v>
      </c>
      <c r="AA88" s="502" t="s">
        <v>176</v>
      </c>
      <c r="AB88" s="502" t="s">
        <v>182</v>
      </c>
      <c r="AC88" s="500">
        <v>2</v>
      </c>
      <c r="AD88" s="501"/>
      <c r="AE88" s="501"/>
      <c r="AF88" s="501"/>
      <c r="AG88" s="501"/>
      <c r="AH88" s="501"/>
      <c r="AI88" s="501"/>
      <c r="AJ88" s="503" t="s">
        <v>163</v>
      </c>
      <c r="AK88" s="500" t="s">
        <v>163</v>
      </c>
      <c r="AL88" s="504" t="s">
        <v>575</v>
      </c>
      <c r="AM88" s="505">
        <v>2.5</v>
      </c>
      <c r="AN88" s="498" t="s">
        <v>1223</v>
      </c>
      <c r="AO88" s="499">
        <v>2.5</v>
      </c>
      <c r="AP88" s="506" t="s">
        <v>23</v>
      </c>
      <c r="AQ88" s="500" t="s">
        <v>163</v>
      </c>
      <c r="AR88" s="507" t="s">
        <v>115</v>
      </c>
      <c r="AS88" s="507" t="s">
        <v>1845</v>
      </c>
      <c r="AT88" s="508">
        <f>L88*10</f>
        <v>2.5</v>
      </c>
      <c r="AU88" s="509" t="s">
        <v>150</v>
      </c>
      <c r="AV88" s="491" t="s">
        <v>1317</v>
      </c>
      <c r="AW88" s="491">
        <v>2.5</v>
      </c>
      <c r="AX88" s="491">
        <v>2.5</v>
      </c>
      <c r="AY88" s="491">
        <v>2.5</v>
      </c>
      <c r="AZ88" s="491">
        <v>2.5</v>
      </c>
      <c r="BA88" s="510">
        <v>2.5</v>
      </c>
      <c r="BB88" s="511">
        <v>0.2</v>
      </c>
      <c r="BC88" s="512" t="s">
        <v>1046</v>
      </c>
      <c r="BD88" s="504" t="s">
        <v>986</v>
      </c>
      <c r="BE88" s="513">
        <v>2</v>
      </c>
      <c r="BF88" s="514">
        <v>2</v>
      </c>
      <c r="BG88" s="515">
        <v>2024.0165999999999</v>
      </c>
      <c r="BH88" s="516" t="s">
        <v>348</v>
      </c>
      <c r="BI88" s="516">
        <v>2.5</v>
      </c>
      <c r="BJ88" s="516" t="s">
        <v>321</v>
      </c>
      <c r="BK88" s="505">
        <v>0</v>
      </c>
      <c r="BL88" s="517" t="s">
        <v>321</v>
      </c>
      <c r="BM88" s="485" t="s">
        <v>434</v>
      </c>
      <c r="BN88" s="485" t="s">
        <v>1505</v>
      </c>
      <c r="BO88" s="485" t="s">
        <v>1506</v>
      </c>
      <c r="BP88" s="518" t="s">
        <v>1559</v>
      </c>
      <c r="BQ88" s="518" t="s">
        <v>1653</v>
      </c>
      <c r="BR88" s="518" t="s">
        <v>1641</v>
      </c>
      <c r="BS88" s="486" t="s">
        <v>435</v>
      </c>
      <c r="BT88" s="486" t="s">
        <v>436</v>
      </c>
      <c r="BU88" s="486" t="s">
        <v>437</v>
      </c>
      <c r="BV88" s="486" t="s">
        <v>438</v>
      </c>
      <c r="BW88" s="486" t="s">
        <v>439</v>
      </c>
      <c r="BX88" s="486" t="s">
        <v>440</v>
      </c>
      <c r="BY88" s="486" t="s">
        <v>441</v>
      </c>
      <c r="BZ88" s="486" t="s">
        <v>442</v>
      </c>
      <c r="CA88" s="486" t="s">
        <v>443</v>
      </c>
      <c r="CB88" s="486"/>
      <c r="CC88" s="486"/>
      <c r="CD88" s="682"/>
      <c r="CE88" s="487" t="s">
        <v>2091</v>
      </c>
      <c r="CH88" s="487">
        <f t="shared" si="5"/>
        <v>9</v>
      </c>
    </row>
    <row r="89" spans="1:146" x14ac:dyDescent="0.25">
      <c r="A89" s="192" t="s">
        <v>522</v>
      </c>
      <c r="B89" s="193">
        <v>436</v>
      </c>
      <c r="C89" s="343" t="s">
        <v>512</v>
      </c>
      <c r="D89" s="196">
        <v>2</v>
      </c>
      <c r="E89" s="197" t="s">
        <v>1917</v>
      </c>
      <c r="F89" s="197"/>
      <c r="G89" s="197"/>
      <c r="H89" s="197" t="s">
        <v>1991</v>
      </c>
      <c r="I89" s="198" t="s">
        <v>1760</v>
      </c>
      <c r="J89" s="198" t="s">
        <v>1166</v>
      </c>
      <c r="K89" s="198" t="s">
        <v>873</v>
      </c>
      <c r="L89" s="199">
        <v>0.2</v>
      </c>
      <c r="M89" s="199">
        <v>0.2</v>
      </c>
      <c r="N89" s="199">
        <v>0.2</v>
      </c>
      <c r="O89" s="199">
        <v>0.2</v>
      </c>
      <c r="P89" s="199">
        <v>0.2</v>
      </c>
      <c r="Q89" s="200">
        <v>0.05</v>
      </c>
      <c r="R89" s="201" t="s">
        <v>901</v>
      </c>
      <c r="S89" s="202" t="s">
        <v>1358</v>
      </c>
      <c r="T89" s="203">
        <v>2</v>
      </c>
      <c r="U89" s="204"/>
      <c r="V89" s="205"/>
      <c r="W89" s="205"/>
      <c r="X89" s="205"/>
      <c r="Y89" s="205"/>
      <c r="Z89" s="224" t="s">
        <v>904</v>
      </c>
      <c r="AA89" s="206" t="s">
        <v>176</v>
      </c>
      <c r="AB89" s="206" t="s">
        <v>182</v>
      </c>
      <c r="AC89" s="204">
        <v>2</v>
      </c>
      <c r="AD89" s="205"/>
      <c r="AE89" s="205"/>
      <c r="AF89" s="205"/>
      <c r="AG89" s="205"/>
      <c r="AH89" s="205"/>
      <c r="AI89" s="205"/>
      <c r="AJ89" s="207" t="s">
        <v>163</v>
      </c>
      <c r="AK89" s="204" t="s">
        <v>163</v>
      </c>
      <c r="AL89" s="208" t="s">
        <v>574</v>
      </c>
      <c r="AM89" s="209">
        <v>2</v>
      </c>
      <c r="AN89" s="202" t="s">
        <v>1224</v>
      </c>
      <c r="AO89" s="203">
        <v>2</v>
      </c>
      <c r="AP89" s="210" t="s">
        <v>23</v>
      </c>
      <c r="AQ89" s="204" t="s">
        <v>163</v>
      </c>
      <c r="AR89" s="211"/>
      <c r="AS89" s="211" t="s">
        <v>1846</v>
      </c>
      <c r="AT89" s="212">
        <f>L89*10</f>
        <v>2</v>
      </c>
      <c r="AU89" s="213" t="s">
        <v>150</v>
      </c>
      <c r="AV89" s="195" t="s">
        <v>1318</v>
      </c>
      <c r="AW89" s="195">
        <v>2</v>
      </c>
      <c r="AX89" s="195">
        <v>2</v>
      </c>
      <c r="AY89" s="195">
        <v>2</v>
      </c>
      <c r="AZ89" s="195">
        <v>0</v>
      </c>
      <c r="BA89" s="214">
        <v>2</v>
      </c>
      <c r="BB89" s="215" t="s">
        <v>163</v>
      </c>
      <c r="BC89" s="216" t="s">
        <v>163</v>
      </c>
      <c r="BD89" s="208" t="s">
        <v>163</v>
      </c>
      <c r="BE89" s="217" t="s">
        <v>163</v>
      </c>
      <c r="BF89" s="218" t="s">
        <v>163</v>
      </c>
      <c r="BG89" s="219">
        <v>2024.0198</v>
      </c>
      <c r="BH89" s="220" t="s">
        <v>348</v>
      </c>
      <c r="BI89" s="220">
        <v>2</v>
      </c>
      <c r="BJ89" s="220" t="s">
        <v>320</v>
      </c>
      <c r="BK89" s="209">
        <v>2</v>
      </c>
      <c r="BL89" s="221" t="s">
        <v>321</v>
      </c>
      <c r="BM89" s="191" t="s">
        <v>850</v>
      </c>
      <c r="BN89" s="191" t="s">
        <v>1507</v>
      </c>
      <c r="BO89" s="191" t="s">
        <v>1508</v>
      </c>
      <c r="BP89" s="222" t="s">
        <v>957</v>
      </c>
      <c r="BQ89" s="222" t="s">
        <v>1653</v>
      </c>
      <c r="BR89" s="222" t="s">
        <v>1641</v>
      </c>
      <c r="BS89" s="163" t="s">
        <v>851</v>
      </c>
      <c r="BT89" s="163" t="s">
        <v>852</v>
      </c>
      <c r="BU89" s="163" t="s">
        <v>853</v>
      </c>
      <c r="BV89" s="163" t="s">
        <v>854</v>
      </c>
      <c r="BW89" s="163"/>
      <c r="BX89" s="163"/>
      <c r="BY89" s="163"/>
      <c r="BZ89" s="163"/>
      <c r="CA89" s="163"/>
      <c r="CB89" s="163"/>
      <c r="CC89" s="163"/>
      <c r="CD89" s="681"/>
      <c r="CE89" s="11" t="s">
        <v>2091</v>
      </c>
      <c r="CH89" s="11">
        <f t="shared" si="5"/>
        <v>4</v>
      </c>
    </row>
    <row r="90" spans="1:146" s="487" customFormat="1" x14ac:dyDescent="0.25">
      <c r="A90" s="488" t="s">
        <v>523</v>
      </c>
      <c r="B90" s="489">
        <v>437</v>
      </c>
      <c r="C90" s="597" t="s">
        <v>1326</v>
      </c>
      <c r="D90" s="492">
        <v>2</v>
      </c>
      <c r="E90" s="493" t="s">
        <v>1915</v>
      </c>
      <c r="F90" s="493"/>
      <c r="G90" s="493"/>
      <c r="H90" s="493" t="s">
        <v>1995</v>
      </c>
      <c r="I90" s="494" t="s">
        <v>1757</v>
      </c>
      <c r="J90" s="494" t="s">
        <v>1167</v>
      </c>
      <c r="K90" s="494" t="s">
        <v>889</v>
      </c>
      <c r="L90" s="495">
        <v>0.2</v>
      </c>
      <c r="M90" s="495">
        <v>0.2</v>
      </c>
      <c r="N90" s="495">
        <v>0.2</v>
      </c>
      <c r="O90" s="495">
        <v>0.2</v>
      </c>
      <c r="P90" s="495">
        <v>0.2</v>
      </c>
      <c r="Q90" s="496">
        <v>0</v>
      </c>
      <c r="R90" s="497"/>
      <c r="S90" s="498" t="s">
        <v>1359</v>
      </c>
      <c r="T90" s="499">
        <v>2</v>
      </c>
      <c r="U90" s="500"/>
      <c r="V90" s="501"/>
      <c r="W90" s="501"/>
      <c r="X90" s="501"/>
      <c r="Y90" s="501"/>
      <c r="Z90" s="519" t="s">
        <v>1721</v>
      </c>
      <c r="AA90" s="502" t="s">
        <v>176</v>
      </c>
      <c r="AB90" s="502" t="s">
        <v>182</v>
      </c>
      <c r="AC90" s="500">
        <v>2</v>
      </c>
      <c r="AD90" s="501"/>
      <c r="AE90" s="501"/>
      <c r="AF90" s="501"/>
      <c r="AG90" s="501"/>
      <c r="AH90" s="501"/>
      <c r="AI90" s="501"/>
      <c r="AJ90" s="503" t="s">
        <v>163</v>
      </c>
      <c r="AK90" s="500" t="s">
        <v>163</v>
      </c>
      <c r="AL90" s="504" t="s">
        <v>574</v>
      </c>
      <c r="AM90" s="505">
        <v>2</v>
      </c>
      <c r="AN90" s="498" t="s">
        <v>1225</v>
      </c>
      <c r="AO90" s="499">
        <v>2</v>
      </c>
      <c r="AP90" s="506" t="s">
        <v>23</v>
      </c>
      <c r="AQ90" s="500" t="s">
        <v>163</v>
      </c>
      <c r="AR90" s="507"/>
      <c r="AS90" s="507" t="s">
        <v>1847</v>
      </c>
      <c r="AT90" s="508">
        <v>2</v>
      </c>
      <c r="AU90" s="509" t="s">
        <v>150</v>
      </c>
      <c r="AV90" s="491" t="s">
        <v>1319</v>
      </c>
      <c r="AW90" s="491">
        <v>2</v>
      </c>
      <c r="AX90" s="491">
        <v>2</v>
      </c>
      <c r="AY90" s="491">
        <v>2</v>
      </c>
      <c r="AZ90" s="491">
        <v>2</v>
      </c>
      <c r="BA90" s="510">
        <v>2</v>
      </c>
      <c r="BB90" s="511" t="s">
        <v>163</v>
      </c>
      <c r="BC90" s="512" t="s">
        <v>163</v>
      </c>
      <c r="BD90" s="504" t="s">
        <v>163</v>
      </c>
      <c r="BE90" s="513" t="s">
        <v>163</v>
      </c>
      <c r="BF90" s="514" t="s">
        <v>163</v>
      </c>
      <c r="BG90" s="515">
        <v>2024.0201</v>
      </c>
      <c r="BH90" s="516" t="s">
        <v>348</v>
      </c>
      <c r="BI90" s="516">
        <v>2</v>
      </c>
      <c r="BJ90" s="516" t="s">
        <v>320</v>
      </c>
      <c r="BK90" s="505">
        <v>2</v>
      </c>
      <c r="BL90" s="517" t="s">
        <v>321</v>
      </c>
      <c r="BM90" s="485" t="s">
        <v>885</v>
      </c>
      <c r="BN90" s="485" t="s">
        <v>1509</v>
      </c>
      <c r="BO90" s="485" t="s">
        <v>1510</v>
      </c>
      <c r="BP90" s="518" t="s">
        <v>957</v>
      </c>
      <c r="BQ90" s="518" t="s">
        <v>1653</v>
      </c>
      <c r="BR90" s="518" t="s">
        <v>1641</v>
      </c>
      <c r="BS90" s="486" t="s">
        <v>886</v>
      </c>
      <c r="BT90" s="486" t="s">
        <v>887</v>
      </c>
      <c r="BU90" s="486" t="s">
        <v>854</v>
      </c>
      <c r="BV90" s="486"/>
      <c r="BW90" s="486"/>
      <c r="BX90" s="486"/>
      <c r="BY90" s="486"/>
      <c r="BZ90" s="486"/>
      <c r="CA90" s="486"/>
      <c r="CB90" s="486"/>
      <c r="CC90" s="486"/>
      <c r="CD90" s="682"/>
      <c r="CE90" s="487" t="s">
        <v>2091</v>
      </c>
      <c r="CH90" s="487">
        <f t="shared" si="5"/>
        <v>3</v>
      </c>
    </row>
    <row r="91" spans="1:146" x14ac:dyDescent="0.25">
      <c r="A91" s="192" t="s">
        <v>524</v>
      </c>
      <c r="B91" s="193">
        <v>438</v>
      </c>
      <c r="C91" s="343" t="s">
        <v>514</v>
      </c>
      <c r="D91" s="196">
        <v>1</v>
      </c>
      <c r="E91" s="197" t="s">
        <v>1917</v>
      </c>
      <c r="F91" s="197"/>
      <c r="G91" s="197"/>
      <c r="H91" s="197" t="s">
        <v>2006</v>
      </c>
      <c r="I91" s="198" t="s">
        <v>1770</v>
      </c>
      <c r="J91" s="198" t="s">
        <v>1155</v>
      </c>
      <c r="K91" s="198" t="s">
        <v>681</v>
      </c>
      <c r="L91" s="199">
        <v>0.1</v>
      </c>
      <c r="M91" s="199">
        <v>0.1</v>
      </c>
      <c r="N91" s="199">
        <v>0.1</v>
      </c>
      <c r="O91" s="199">
        <v>0.1</v>
      </c>
      <c r="P91" s="199">
        <v>0</v>
      </c>
      <c r="Q91" s="200">
        <v>0</v>
      </c>
      <c r="R91" s="201" t="s">
        <v>901</v>
      </c>
      <c r="S91" s="202" t="s">
        <v>1360</v>
      </c>
      <c r="T91" s="203">
        <v>1.5</v>
      </c>
      <c r="U91" s="204"/>
      <c r="V91" s="205"/>
      <c r="W91" s="205"/>
      <c r="X91" s="205"/>
      <c r="Y91" s="205"/>
      <c r="Z91" s="202" t="s">
        <v>223</v>
      </c>
      <c r="AA91" s="206" t="s">
        <v>224</v>
      </c>
      <c r="AB91" s="206" t="s">
        <v>182</v>
      </c>
      <c r="AC91" s="204">
        <v>1</v>
      </c>
      <c r="AD91" s="205"/>
      <c r="AE91" s="205"/>
      <c r="AF91" s="205"/>
      <c r="AG91" s="205"/>
      <c r="AH91" s="205"/>
      <c r="AI91" s="205"/>
      <c r="AJ91" s="207" t="s">
        <v>163</v>
      </c>
      <c r="AK91" s="204" t="s">
        <v>163</v>
      </c>
      <c r="AL91" s="208" t="s">
        <v>573</v>
      </c>
      <c r="AM91" s="209">
        <v>1.5</v>
      </c>
      <c r="AN91" s="202" t="s">
        <v>1226</v>
      </c>
      <c r="AO91" s="203">
        <v>1.5</v>
      </c>
      <c r="AP91" s="210" t="s">
        <v>23</v>
      </c>
      <c r="AQ91" s="204" t="s">
        <v>163</v>
      </c>
      <c r="AR91" s="211" t="s">
        <v>134</v>
      </c>
      <c r="AS91" s="211" t="s">
        <v>1848</v>
      </c>
      <c r="AT91" s="212">
        <f>L91*10</f>
        <v>1</v>
      </c>
      <c r="AU91" s="213" t="s">
        <v>158</v>
      </c>
      <c r="AV91" s="195" t="s">
        <v>1320</v>
      </c>
      <c r="AW91" s="195">
        <v>1.5</v>
      </c>
      <c r="AX91" s="195">
        <v>0</v>
      </c>
      <c r="AY91" s="195">
        <v>0</v>
      </c>
      <c r="AZ91" s="195">
        <v>0</v>
      </c>
      <c r="BA91" s="214">
        <v>1.5</v>
      </c>
      <c r="BB91" s="215">
        <v>0.1</v>
      </c>
      <c r="BC91" s="216" t="s">
        <v>1047</v>
      </c>
      <c r="BD91" s="202" t="s">
        <v>992</v>
      </c>
      <c r="BE91" s="217">
        <v>0</v>
      </c>
      <c r="BF91" s="218">
        <v>1</v>
      </c>
      <c r="BG91" s="219">
        <v>2024.0201999999999</v>
      </c>
      <c r="BH91" s="220" t="s">
        <v>23</v>
      </c>
      <c r="BI91" s="220">
        <v>1</v>
      </c>
      <c r="BJ91" s="220" t="s">
        <v>320</v>
      </c>
      <c r="BK91" s="209">
        <v>1</v>
      </c>
      <c r="BL91" s="221" t="s">
        <v>321</v>
      </c>
      <c r="BM91" s="348" t="s">
        <v>356</v>
      </c>
      <c r="BN91" s="348" t="s">
        <v>1511</v>
      </c>
      <c r="BO91" s="348" t="s">
        <v>1512</v>
      </c>
      <c r="BP91" s="222" t="s">
        <v>957</v>
      </c>
      <c r="BQ91" s="222" t="s">
        <v>1653</v>
      </c>
      <c r="BR91" s="222" t="s">
        <v>354</v>
      </c>
      <c r="BS91" s="163" t="s">
        <v>1115</v>
      </c>
      <c r="BT91" s="163" t="s">
        <v>1116</v>
      </c>
      <c r="BU91" s="163" t="s">
        <v>1117</v>
      </c>
      <c r="BV91" s="163"/>
      <c r="BW91" s="163"/>
      <c r="BX91" s="163"/>
      <c r="BY91" s="163"/>
      <c r="BZ91" s="163"/>
      <c r="CA91" s="163"/>
      <c r="CB91" s="163"/>
      <c r="CC91" s="163"/>
      <c r="CD91" s="681"/>
      <c r="CE91" s="11" t="s">
        <v>2091</v>
      </c>
      <c r="CH91" s="11">
        <f t="shared" si="5"/>
        <v>3</v>
      </c>
    </row>
    <row r="92" spans="1:146" s="487" customFormat="1" x14ac:dyDescent="0.25">
      <c r="A92" s="488" t="s">
        <v>525</v>
      </c>
      <c r="B92" s="489">
        <v>439</v>
      </c>
      <c r="C92" s="597" t="s">
        <v>513</v>
      </c>
      <c r="D92" s="492">
        <v>1.5</v>
      </c>
      <c r="E92" s="493" t="s">
        <v>1915</v>
      </c>
      <c r="F92" s="493"/>
      <c r="G92" s="493"/>
      <c r="H92" s="493" t="s">
        <v>1982</v>
      </c>
      <c r="I92" s="494" t="s">
        <v>1769</v>
      </c>
      <c r="J92" s="494" t="s">
        <v>1156</v>
      </c>
      <c r="K92" s="494" t="s">
        <v>645</v>
      </c>
      <c r="L92" s="495">
        <v>0.15</v>
      </c>
      <c r="M92" s="495">
        <v>0.15</v>
      </c>
      <c r="N92" s="495">
        <v>0.15</v>
      </c>
      <c r="O92" s="495">
        <v>0.15</v>
      </c>
      <c r="P92" s="495">
        <v>0.15</v>
      </c>
      <c r="Q92" s="496">
        <v>0</v>
      </c>
      <c r="R92" s="497" t="s">
        <v>901</v>
      </c>
      <c r="S92" s="498" t="s">
        <v>1361</v>
      </c>
      <c r="T92" s="499">
        <v>1.5</v>
      </c>
      <c r="U92" s="500"/>
      <c r="V92" s="501"/>
      <c r="W92" s="501"/>
      <c r="X92" s="501"/>
      <c r="Y92" s="501"/>
      <c r="Z92" s="498" t="s">
        <v>226</v>
      </c>
      <c r="AA92" s="502" t="s">
        <v>176</v>
      </c>
      <c r="AB92" s="502" t="s">
        <v>182</v>
      </c>
      <c r="AC92" s="500">
        <v>1</v>
      </c>
      <c r="AD92" s="501"/>
      <c r="AE92" s="501"/>
      <c r="AF92" s="501"/>
      <c r="AG92" s="501"/>
      <c r="AH92" s="501"/>
      <c r="AI92" s="501"/>
      <c r="AJ92" s="503" t="s">
        <v>163</v>
      </c>
      <c r="AK92" s="500" t="s">
        <v>163</v>
      </c>
      <c r="AL92" s="504" t="s">
        <v>573</v>
      </c>
      <c r="AM92" s="505">
        <v>1.5</v>
      </c>
      <c r="AN92" s="520" t="s">
        <v>1227</v>
      </c>
      <c r="AO92" s="499">
        <v>1.5</v>
      </c>
      <c r="AP92" s="506" t="s">
        <v>23</v>
      </c>
      <c r="AQ92" s="500" t="s">
        <v>163</v>
      </c>
      <c r="AR92" s="507" t="s">
        <v>142</v>
      </c>
      <c r="AS92" s="507" t="s">
        <v>1849</v>
      </c>
      <c r="AT92" s="508">
        <f>L92*10</f>
        <v>1.5</v>
      </c>
      <c r="AU92" s="509" t="s">
        <v>150</v>
      </c>
      <c r="AV92" s="491" t="s">
        <v>1321</v>
      </c>
      <c r="AW92" s="491">
        <v>1.5</v>
      </c>
      <c r="AX92" s="491">
        <v>1.5</v>
      </c>
      <c r="AY92" s="491">
        <v>1.5</v>
      </c>
      <c r="AZ92" s="491">
        <v>0</v>
      </c>
      <c r="BA92" s="510">
        <v>1.5</v>
      </c>
      <c r="BB92" s="511">
        <v>0.1</v>
      </c>
      <c r="BC92" s="512" t="s">
        <v>1048</v>
      </c>
      <c r="BD92" s="504" t="s">
        <v>967</v>
      </c>
      <c r="BE92" s="513">
        <v>1</v>
      </c>
      <c r="BF92" s="514">
        <v>1</v>
      </c>
      <c r="BG92" s="515">
        <v>2024.0199</v>
      </c>
      <c r="BH92" s="516" t="s">
        <v>348</v>
      </c>
      <c r="BI92" s="516">
        <v>1.5</v>
      </c>
      <c r="BJ92" s="516" t="s">
        <v>320</v>
      </c>
      <c r="BK92" s="505">
        <v>1.5</v>
      </c>
      <c r="BL92" s="517" t="s">
        <v>321</v>
      </c>
      <c r="BM92" s="485" t="s">
        <v>1462</v>
      </c>
      <c r="BN92" s="485" t="s">
        <v>1513</v>
      </c>
      <c r="BO92" s="485" t="s">
        <v>1514</v>
      </c>
      <c r="BP92" s="518" t="s">
        <v>957</v>
      </c>
      <c r="BQ92" s="518" t="s">
        <v>1653</v>
      </c>
      <c r="BR92" s="518" t="s">
        <v>1641</v>
      </c>
      <c r="BS92" s="486" t="s">
        <v>837</v>
      </c>
      <c r="BT92" s="486" t="s">
        <v>838</v>
      </c>
      <c r="BU92" s="486" t="s">
        <v>839</v>
      </c>
      <c r="BV92" s="486" t="s">
        <v>840</v>
      </c>
      <c r="BW92" s="486"/>
      <c r="BX92" s="486"/>
      <c r="BY92" s="486"/>
      <c r="BZ92" s="486"/>
      <c r="CA92" s="486"/>
      <c r="CB92" s="486"/>
      <c r="CC92" s="486"/>
      <c r="CD92" s="682"/>
      <c r="CE92" s="487" t="s">
        <v>2091</v>
      </c>
      <c r="CH92" s="487">
        <f t="shared" si="5"/>
        <v>4</v>
      </c>
    </row>
    <row r="93" spans="1:146" x14ac:dyDescent="0.25">
      <c r="A93" s="192" t="s">
        <v>526</v>
      </c>
      <c r="B93" s="193">
        <v>440</v>
      </c>
      <c r="C93" s="343" t="s">
        <v>515</v>
      </c>
      <c r="D93" s="196">
        <v>0.5</v>
      </c>
      <c r="E93" s="197" t="s">
        <v>1916</v>
      </c>
      <c r="F93" s="197"/>
      <c r="G93" s="197"/>
      <c r="H93" s="197" t="s">
        <v>1992</v>
      </c>
      <c r="I93" s="198" t="s">
        <v>1759</v>
      </c>
      <c r="J93" s="198" t="s">
        <v>1182</v>
      </c>
      <c r="K93" s="198" t="s">
        <v>883</v>
      </c>
      <c r="L93" s="199">
        <v>0.05</v>
      </c>
      <c r="M93" s="199">
        <v>0.05</v>
      </c>
      <c r="N93" s="199">
        <v>0.05</v>
      </c>
      <c r="O93" s="199">
        <v>0.05</v>
      </c>
      <c r="P93" s="199">
        <v>0.05</v>
      </c>
      <c r="Q93" s="200">
        <v>0</v>
      </c>
      <c r="R93" s="201" t="s">
        <v>901</v>
      </c>
      <c r="S93" s="202" t="s">
        <v>1362</v>
      </c>
      <c r="T93" s="203">
        <v>0.5</v>
      </c>
      <c r="U93" s="204"/>
      <c r="V93" s="205"/>
      <c r="W93" s="205"/>
      <c r="X93" s="205"/>
      <c r="Y93" s="205"/>
      <c r="Z93" s="224" t="s">
        <v>905</v>
      </c>
      <c r="AA93" s="206" t="s">
        <v>176</v>
      </c>
      <c r="AB93" s="206" t="s">
        <v>182</v>
      </c>
      <c r="AC93" s="204">
        <v>0.5</v>
      </c>
      <c r="AD93" s="205"/>
      <c r="AE93" s="205"/>
      <c r="AF93" s="205"/>
      <c r="AG93" s="205"/>
      <c r="AH93" s="205"/>
      <c r="AI93" s="205"/>
      <c r="AJ93" s="207" t="s">
        <v>163</v>
      </c>
      <c r="AK93" s="204" t="s">
        <v>163</v>
      </c>
      <c r="AL93" s="208" t="s">
        <v>572</v>
      </c>
      <c r="AM93" s="209">
        <v>0.5</v>
      </c>
      <c r="AN93" s="223" t="s">
        <v>1228</v>
      </c>
      <c r="AO93" s="203">
        <v>0.5</v>
      </c>
      <c r="AP93" s="210" t="s">
        <v>23</v>
      </c>
      <c r="AQ93" s="204" t="s">
        <v>163</v>
      </c>
      <c r="AR93" s="211"/>
      <c r="AS93" s="211" t="s">
        <v>1850</v>
      </c>
      <c r="AT93" s="212">
        <v>0.5</v>
      </c>
      <c r="AU93" s="213" t="s">
        <v>150</v>
      </c>
      <c r="AV93" s="195" t="s">
        <v>172</v>
      </c>
      <c r="AW93" s="195">
        <v>0</v>
      </c>
      <c r="AX93" s="195">
        <v>0</v>
      </c>
      <c r="AY93" s="195">
        <v>0</v>
      </c>
      <c r="AZ93" s="195">
        <v>0</v>
      </c>
      <c r="BA93" s="214">
        <v>0.5</v>
      </c>
      <c r="BB93" s="215" t="s">
        <v>163</v>
      </c>
      <c r="BC93" s="216" t="s">
        <v>163</v>
      </c>
      <c r="BD93" s="208" t="s">
        <v>163</v>
      </c>
      <c r="BE93" s="217" t="s">
        <v>163</v>
      </c>
      <c r="BF93" s="218" t="s">
        <v>163</v>
      </c>
      <c r="BG93" s="219">
        <v>2024.0195000000001</v>
      </c>
      <c r="BH93" s="220" t="s">
        <v>348</v>
      </c>
      <c r="BI93" s="220">
        <v>0.5</v>
      </c>
      <c r="BJ93" s="220" t="s">
        <v>320</v>
      </c>
      <c r="BK93" s="209">
        <v>0.5</v>
      </c>
      <c r="BL93" s="221" t="s">
        <v>321</v>
      </c>
      <c r="BM93" s="191" t="s">
        <v>863</v>
      </c>
      <c r="BN93" s="191" t="s">
        <v>1515</v>
      </c>
      <c r="BO93" s="191" t="s">
        <v>1516</v>
      </c>
      <c r="BP93" s="222" t="s">
        <v>957</v>
      </c>
      <c r="BQ93" s="222" t="s">
        <v>1653</v>
      </c>
      <c r="BR93" s="222" t="s">
        <v>1641</v>
      </c>
      <c r="BS93" s="163" t="s">
        <v>859</v>
      </c>
      <c r="BT93" s="163" t="s">
        <v>860</v>
      </c>
      <c r="BU93" s="163" t="s">
        <v>861</v>
      </c>
      <c r="BV93" s="163" t="s">
        <v>862</v>
      </c>
      <c r="BW93" s="163"/>
      <c r="BX93" s="163"/>
      <c r="BY93" s="163"/>
      <c r="BZ93" s="163"/>
      <c r="CA93" s="163"/>
      <c r="CB93" s="163"/>
      <c r="CC93" s="163"/>
      <c r="CD93" s="681"/>
      <c r="CE93" s="11" t="s">
        <v>2091</v>
      </c>
      <c r="CH93" s="11">
        <f t="shared" si="5"/>
        <v>4</v>
      </c>
    </row>
    <row r="94" spans="1:146" s="487" customFormat="1" ht="26.4" x14ac:dyDescent="0.25">
      <c r="A94" s="488" t="s">
        <v>527</v>
      </c>
      <c r="B94" s="489">
        <v>441</v>
      </c>
      <c r="C94" s="597" t="s">
        <v>2062</v>
      </c>
      <c r="D94" s="492">
        <v>1.5</v>
      </c>
      <c r="E94" s="493"/>
      <c r="F94" s="493"/>
      <c r="G94" s="493"/>
      <c r="H94" s="493" t="s">
        <v>1993</v>
      </c>
      <c r="I94" s="494" t="s">
        <v>1907</v>
      </c>
      <c r="J94" s="494" t="s">
        <v>1168</v>
      </c>
      <c r="K94" s="494" t="s">
        <v>1061</v>
      </c>
      <c r="L94" s="495">
        <v>0.15</v>
      </c>
      <c r="M94" s="495">
        <v>0.15</v>
      </c>
      <c r="N94" s="495">
        <v>0.1</v>
      </c>
      <c r="O94" s="495">
        <v>0.15</v>
      </c>
      <c r="P94" s="495">
        <v>0.15</v>
      </c>
      <c r="Q94" s="496">
        <v>0</v>
      </c>
      <c r="R94" s="497" t="s">
        <v>901</v>
      </c>
      <c r="S94" s="498" t="s">
        <v>2063</v>
      </c>
      <c r="T94" s="499"/>
      <c r="U94" s="500"/>
      <c r="V94" s="501"/>
      <c r="W94" s="501"/>
      <c r="X94" s="501"/>
      <c r="Y94" s="501"/>
      <c r="Z94" s="498" t="s">
        <v>2063</v>
      </c>
      <c r="AA94" s="502"/>
      <c r="AB94" s="502"/>
      <c r="AC94" s="500"/>
      <c r="AD94" s="501"/>
      <c r="AE94" s="501"/>
      <c r="AF94" s="501"/>
      <c r="AG94" s="501"/>
      <c r="AH94" s="501"/>
      <c r="AI94" s="501"/>
      <c r="AJ94" s="503" t="s">
        <v>163</v>
      </c>
      <c r="AK94" s="500" t="s">
        <v>163</v>
      </c>
      <c r="AL94" s="504" t="s">
        <v>573</v>
      </c>
      <c r="AM94" s="505">
        <v>1.5</v>
      </c>
      <c r="AN94" s="498" t="s">
        <v>163</v>
      </c>
      <c r="AO94" s="499" t="s">
        <v>163</v>
      </c>
      <c r="AP94" s="506" t="s">
        <v>163</v>
      </c>
      <c r="AQ94" s="500" t="s">
        <v>163</v>
      </c>
      <c r="AR94" s="507"/>
      <c r="AS94" s="507" t="s">
        <v>864</v>
      </c>
      <c r="AT94" s="508">
        <f>L94*10</f>
        <v>1.5</v>
      </c>
      <c r="AU94" s="509" t="s">
        <v>150</v>
      </c>
      <c r="AV94" s="491" t="s">
        <v>163</v>
      </c>
      <c r="AW94" s="491" t="s">
        <v>163</v>
      </c>
      <c r="AX94" s="491" t="s">
        <v>163</v>
      </c>
      <c r="AY94" s="491" t="s">
        <v>163</v>
      </c>
      <c r="AZ94" s="491" t="s">
        <v>163</v>
      </c>
      <c r="BA94" s="510">
        <v>1.5</v>
      </c>
      <c r="BB94" s="511" t="s">
        <v>163</v>
      </c>
      <c r="BC94" s="512" t="s">
        <v>163</v>
      </c>
      <c r="BD94" s="504" t="s">
        <v>163</v>
      </c>
      <c r="BE94" s="513" t="s">
        <v>163</v>
      </c>
      <c r="BF94" s="514" t="s">
        <v>163</v>
      </c>
      <c r="BG94" s="515">
        <v>2024.02</v>
      </c>
      <c r="BH94" s="516" t="s">
        <v>348</v>
      </c>
      <c r="BI94" s="516">
        <v>1.5</v>
      </c>
      <c r="BJ94" s="516" t="s">
        <v>320</v>
      </c>
      <c r="BK94" s="505">
        <v>1.5</v>
      </c>
      <c r="BL94" s="517" t="s">
        <v>321</v>
      </c>
      <c r="BM94" s="485" t="s">
        <v>1058</v>
      </c>
      <c r="BN94" s="485"/>
      <c r="BO94" s="485"/>
      <c r="BP94" s="518" t="s">
        <v>957</v>
      </c>
      <c r="BQ94" s="518" t="s">
        <v>1653</v>
      </c>
      <c r="BR94" s="518" t="s">
        <v>1650</v>
      </c>
      <c r="BS94" s="486" t="s">
        <v>2132</v>
      </c>
      <c r="BT94" s="486" t="s">
        <v>1116</v>
      </c>
      <c r="BU94" s="486" t="s">
        <v>2133</v>
      </c>
      <c r="BV94" s="486" t="s">
        <v>2134</v>
      </c>
      <c r="BW94" s="486"/>
      <c r="BX94" s="486"/>
      <c r="BY94" s="486"/>
      <c r="BZ94" s="486"/>
      <c r="CA94" s="486"/>
      <c r="CB94" s="486"/>
      <c r="CC94" s="486"/>
      <c r="CD94" s="682"/>
      <c r="CE94" s="487" t="s">
        <v>2091</v>
      </c>
      <c r="CH94" s="487">
        <f t="shared" si="5"/>
        <v>4</v>
      </c>
    </row>
    <row r="95" spans="1:146" ht="26.4" x14ac:dyDescent="0.25">
      <c r="A95" s="192" t="s">
        <v>528</v>
      </c>
      <c r="B95" s="193">
        <v>442</v>
      </c>
      <c r="C95" s="343" t="s">
        <v>1902</v>
      </c>
      <c r="D95" s="196">
        <v>2</v>
      </c>
      <c r="E95" s="197"/>
      <c r="F95" s="197"/>
      <c r="G95" s="197"/>
      <c r="H95" s="197" t="s">
        <v>1994</v>
      </c>
      <c r="I95" s="198" t="s">
        <v>1908</v>
      </c>
      <c r="J95" s="198" t="s">
        <v>1184</v>
      </c>
      <c r="K95" s="198" t="s">
        <v>1062</v>
      </c>
      <c r="L95" s="199">
        <v>0.2</v>
      </c>
      <c r="M95" s="199">
        <v>0.2</v>
      </c>
      <c r="N95" s="199">
        <v>0.15</v>
      </c>
      <c r="O95" s="199">
        <v>0.2</v>
      </c>
      <c r="P95" s="199">
        <v>0.2</v>
      </c>
      <c r="Q95" s="200">
        <v>0</v>
      </c>
      <c r="R95" s="201" t="s">
        <v>901</v>
      </c>
      <c r="S95" s="202" t="s">
        <v>2063</v>
      </c>
      <c r="T95" s="203"/>
      <c r="U95" s="204"/>
      <c r="V95" s="205"/>
      <c r="W95" s="205"/>
      <c r="X95" s="205"/>
      <c r="Y95" s="205"/>
      <c r="Z95" s="202" t="s">
        <v>2063</v>
      </c>
      <c r="AA95" s="206"/>
      <c r="AB95" s="206"/>
      <c r="AC95" s="204"/>
      <c r="AD95" s="205"/>
      <c r="AE95" s="205"/>
      <c r="AF95" s="205"/>
      <c r="AG95" s="205"/>
      <c r="AH95" s="205"/>
      <c r="AI95" s="205"/>
      <c r="AJ95" s="207" t="s">
        <v>163</v>
      </c>
      <c r="AK95" s="204" t="s">
        <v>163</v>
      </c>
      <c r="AL95" s="208" t="s">
        <v>574</v>
      </c>
      <c r="AM95" s="209">
        <v>2</v>
      </c>
      <c r="AN95" s="202" t="s">
        <v>163</v>
      </c>
      <c r="AO95" s="203" t="s">
        <v>163</v>
      </c>
      <c r="AP95" s="210" t="s">
        <v>163</v>
      </c>
      <c r="AQ95" s="204" t="s">
        <v>163</v>
      </c>
      <c r="AR95" s="211"/>
      <c r="AS95" s="211" t="s">
        <v>1851</v>
      </c>
      <c r="AT95" s="212">
        <f>L95*10</f>
        <v>2</v>
      </c>
      <c r="AU95" s="213" t="s">
        <v>150</v>
      </c>
      <c r="AV95" s="195" t="s">
        <v>163</v>
      </c>
      <c r="AW95" s="195" t="s">
        <v>163</v>
      </c>
      <c r="AX95" s="195" t="s">
        <v>163</v>
      </c>
      <c r="AY95" s="195" t="s">
        <v>163</v>
      </c>
      <c r="AZ95" s="195" t="s">
        <v>163</v>
      </c>
      <c r="BA95" s="214">
        <v>2</v>
      </c>
      <c r="BB95" s="215" t="s">
        <v>163</v>
      </c>
      <c r="BC95" s="216" t="s">
        <v>163</v>
      </c>
      <c r="BD95" s="208" t="s">
        <v>163</v>
      </c>
      <c r="BE95" s="217" t="s">
        <v>163</v>
      </c>
      <c r="BF95" s="218" t="s">
        <v>163</v>
      </c>
      <c r="BG95" s="219">
        <v>2024.0196000000001</v>
      </c>
      <c r="BH95" s="220" t="s">
        <v>348</v>
      </c>
      <c r="BI95" s="220">
        <v>2</v>
      </c>
      <c r="BJ95" s="220" t="s">
        <v>320</v>
      </c>
      <c r="BK95" s="209">
        <v>2</v>
      </c>
      <c r="BL95" s="221" t="s">
        <v>321</v>
      </c>
      <c r="BM95" s="191" t="s">
        <v>1059</v>
      </c>
      <c r="BN95" s="191"/>
      <c r="BO95" s="191"/>
      <c r="BP95" s="222" t="s">
        <v>957</v>
      </c>
      <c r="BQ95" s="222" t="s">
        <v>1653</v>
      </c>
      <c r="BR95" s="222" t="s">
        <v>1650</v>
      </c>
      <c r="BS95" s="163" t="s">
        <v>2135</v>
      </c>
      <c r="BT95" s="163" t="s">
        <v>2136</v>
      </c>
      <c r="BU95" s="163" t="s">
        <v>2137</v>
      </c>
      <c r="BV95" s="163" t="s">
        <v>2138</v>
      </c>
      <c r="BW95" s="163" t="s">
        <v>2139</v>
      </c>
      <c r="BX95" s="163"/>
      <c r="BY95" s="163"/>
      <c r="BZ95" s="163"/>
      <c r="CA95" s="163"/>
      <c r="CB95" s="163"/>
      <c r="CC95" s="163"/>
      <c r="CD95" s="681"/>
      <c r="CE95" s="11" t="s">
        <v>2091</v>
      </c>
      <c r="CH95" s="11">
        <f t="shared" si="5"/>
        <v>5</v>
      </c>
    </row>
    <row r="96" spans="1:146" s="487" customFormat="1" x14ac:dyDescent="0.25">
      <c r="A96" s="488" t="s">
        <v>529</v>
      </c>
      <c r="B96" s="489">
        <v>443</v>
      </c>
      <c r="C96" s="597" t="s">
        <v>655</v>
      </c>
      <c r="D96" s="492">
        <v>1</v>
      </c>
      <c r="E96" s="493" t="s">
        <v>1916</v>
      </c>
      <c r="F96" s="493"/>
      <c r="G96" s="493"/>
      <c r="H96" s="493" t="s">
        <v>1990</v>
      </c>
      <c r="I96" s="494" t="s">
        <v>1761</v>
      </c>
      <c r="J96" s="494" t="s">
        <v>1165</v>
      </c>
      <c r="K96" s="494" t="s">
        <v>707</v>
      </c>
      <c r="L96" s="495">
        <v>0.1</v>
      </c>
      <c r="M96" s="495">
        <v>0.1</v>
      </c>
      <c r="N96" s="495">
        <v>0.1</v>
      </c>
      <c r="O96" s="495">
        <v>0.1</v>
      </c>
      <c r="P96" s="495">
        <v>0</v>
      </c>
      <c r="Q96" s="496">
        <v>0</v>
      </c>
      <c r="R96" s="497" t="s">
        <v>901</v>
      </c>
      <c r="S96" s="498" t="s">
        <v>1401</v>
      </c>
      <c r="T96" s="499">
        <v>1</v>
      </c>
      <c r="U96" s="500"/>
      <c r="V96" s="501"/>
      <c r="W96" s="501"/>
      <c r="X96" s="501"/>
      <c r="Y96" s="501"/>
      <c r="Z96" s="519" t="s">
        <v>1722</v>
      </c>
      <c r="AA96" s="502" t="s">
        <v>1723</v>
      </c>
      <c r="AB96" s="502" t="s">
        <v>182</v>
      </c>
      <c r="AC96" s="500">
        <v>1.25</v>
      </c>
      <c r="AD96" s="501"/>
      <c r="AE96" s="501"/>
      <c r="AF96" s="501"/>
      <c r="AG96" s="501"/>
      <c r="AH96" s="501"/>
      <c r="AI96" s="501"/>
      <c r="AJ96" s="503" t="s">
        <v>163</v>
      </c>
      <c r="AK96" s="500" t="s">
        <v>163</v>
      </c>
      <c r="AL96" s="504" t="s">
        <v>571</v>
      </c>
      <c r="AM96" s="505">
        <v>1</v>
      </c>
      <c r="AN96" s="498" t="s">
        <v>1229</v>
      </c>
      <c r="AO96" s="499">
        <v>1</v>
      </c>
      <c r="AP96" s="506" t="s">
        <v>23</v>
      </c>
      <c r="AQ96" s="500" t="s">
        <v>163</v>
      </c>
      <c r="AR96" s="507"/>
      <c r="AS96" s="507" t="s">
        <v>1852</v>
      </c>
      <c r="AT96" s="508">
        <v>1</v>
      </c>
      <c r="AU96" s="509" t="s">
        <v>150</v>
      </c>
      <c r="AV96" s="491" t="s">
        <v>1322</v>
      </c>
      <c r="AW96" s="491">
        <v>1</v>
      </c>
      <c r="AX96" s="491">
        <v>1</v>
      </c>
      <c r="AY96" s="491">
        <v>0</v>
      </c>
      <c r="AZ96" s="491">
        <v>0</v>
      </c>
      <c r="BA96" s="510">
        <v>1</v>
      </c>
      <c r="BB96" s="511" t="s">
        <v>163</v>
      </c>
      <c r="BC96" s="512" t="s">
        <v>163</v>
      </c>
      <c r="BD96" s="504" t="s">
        <v>163</v>
      </c>
      <c r="BE96" s="513" t="s">
        <v>163</v>
      </c>
      <c r="BF96" s="514" t="s">
        <v>163</v>
      </c>
      <c r="BG96" s="515">
        <v>2024.0197000000001</v>
      </c>
      <c r="BH96" s="516" t="s">
        <v>1406</v>
      </c>
      <c r="BI96" s="516">
        <v>1</v>
      </c>
      <c r="BJ96" s="516" t="s">
        <v>320</v>
      </c>
      <c r="BK96" s="505">
        <v>1</v>
      </c>
      <c r="BL96" s="517" t="s">
        <v>321</v>
      </c>
      <c r="BM96" s="485" t="s">
        <v>876</v>
      </c>
      <c r="BN96" s="485" t="s">
        <v>1517</v>
      </c>
      <c r="BO96" s="485" t="s">
        <v>1518</v>
      </c>
      <c r="BP96" s="518" t="s">
        <v>957</v>
      </c>
      <c r="BQ96" s="518" t="s">
        <v>1652</v>
      </c>
      <c r="BR96" s="518" t="s">
        <v>1650</v>
      </c>
      <c r="BS96" s="486" t="s">
        <v>877</v>
      </c>
      <c r="BT96" s="486" t="s">
        <v>878</v>
      </c>
      <c r="BU96" s="486" t="s">
        <v>879</v>
      </c>
      <c r="BV96" s="486" t="s">
        <v>880</v>
      </c>
      <c r="BW96" s="486" t="s">
        <v>881</v>
      </c>
      <c r="BX96" s="486" t="s">
        <v>882</v>
      </c>
      <c r="BY96" s="486"/>
      <c r="BZ96" s="486"/>
      <c r="CA96" s="486"/>
      <c r="CB96" s="486"/>
      <c r="CC96" s="486"/>
      <c r="CD96" s="682"/>
      <c r="CE96" s="487" t="s">
        <v>2091</v>
      </c>
      <c r="CH96" s="487">
        <f t="shared" si="5"/>
        <v>6</v>
      </c>
    </row>
    <row r="97" spans="1:146" x14ac:dyDescent="0.25">
      <c r="A97" s="192" t="s">
        <v>530</v>
      </c>
      <c r="B97" s="193">
        <v>444</v>
      </c>
      <c r="C97" s="343" t="s">
        <v>1363</v>
      </c>
      <c r="D97" s="196">
        <v>2</v>
      </c>
      <c r="E97" s="197" t="s">
        <v>1917</v>
      </c>
      <c r="F97" s="197"/>
      <c r="G97" s="197"/>
      <c r="H97" s="197" t="s">
        <v>2001</v>
      </c>
      <c r="I97" s="198" t="s">
        <v>1758</v>
      </c>
      <c r="J97" s="198" t="s">
        <v>1183</v>
      </c>
      <c r="K97" s="198" t="s">
        <v>888</v>
      </c>
      <c r="L97" s="199">
        <v>0.2</v>
      </c>
      <c r="M97" s="199">
        <v>0</v>
      </c>
      <c r="N97" s="199">
        <v>0.2</v>
      </c>
      <c r="O97" s="199">
        <v>0.2</v>
      </c>
      <c r="P97" s="199">
        <v>0</v>
      </c>
      <c r="Q97" s="200">
        <v>0.2</v>
      </c>
      <c r="R97" s="201" t="s">
        <v>901</v>
      </c>
      <c r="S97" s="202" t="s">
        <v>1402</v>
      </c>
      <c r="T97" s="203">
        <v>1.5</v>
      </c>
      <c r="U97" s="204"/>
      <c r="V97" s="205"/>
      <c r="W97" s="205"/>
      <c r="X97" s="205"/>
      <c r="Y97" s="205"/>
      <c r="Z97" s="224" t="s">
        <v>1724</v>
      </c>
      <c r="AA97" s="206" t="s">
        <v>1725</v>
      </c>
      <c r="AB97" s="206" t="s">
        <v>182</v>
      </c>
      <c r="AC97" s="204">
        <v>2</v>
      </c>
      <c r="AD97" s="205"/>
      <c r="AE97" s="205"/>
      <c r="AF97" s="205"/>
      <c r="AG97" s="205"/>
      <c r="AH97" s="205"/>
      <c r="AI97" s="205"/>
      <c r="AJ97" s="207" t="s">
        <v>163</v>
      </c>
      <c r="AK97" s="204" t="s">
        <v>163</v>
      </c>
      <c r="AL97" s="208" t="s">
        <v>573</v>
      </c>
      <c r="AM97" s="209">
        <v>1.5</v>
      </c>
      <c r="AN97" s="223" t="s">
        <v>1230</v>
      </c>
      <c r="AO97" s="203">
        <v>1.5</v>
      </c>
      <c r="AP97" s="210" t="s">
        <v>23</v>
      </c>
      <c r="AQ97" s="204" t="s">
        <v>163</v>
      </c>
      <c r="AR97" s="211" t="s">
        <v>133</v>
      </c>
      <c r="AS97" s="211" t="s">
        <v>1860</v>
      </c>
      <c r="AT97" s="212">
        <f>L97*10</f>
        <v>2</v>
      </c>
      <c r="AU97" s="213" t="s">
        <v>158</v>
      </c>
      <c r="AV97" s="195" t="s">
        <v>1323</v>
      </c>
      <c r="AW97" s="195">
        <v>1.5</v>
      </c>
      <c r="AX97" s="195">
        <v>0</v>
      </c>
      <c r="AY97" s="195">
        <v>0</v>
      </c>
      <c r="AZ97" s="195">
        <v>0</v>
      </c>
      <c r="BA97" s="214">
        <v>1.5</v>
      </c>
      <c r="BB97" s="215">
        <v>0.2</v>
      </c>
      <c r="BC97" s="216" t="s">
        <v>1049</v>
      </c>
      <c r="BD97" s="208" t="s">
        <v>163</v>
      </c>
      <c r="BE97" s="217" t="s">
        <v>163</v>
      </c>
      <c r="BF97" s="218" t="s">
        <v>163</v>
      </c>
      <c r="BG97" s="219">
        <v>2024.0202999999999</v>
      </c>
      <c r="BH97" s="220" t="s">
        <v>23</v>
      </c>
      <c r="BI97" s="220">
        <v>2</v>
      </c>
      <c r="BJ97" s="220" t="s">
        <v>320</v>
      </c>
      <c r="BK97" s="209">
        <v>2</v>
      </c>
      <c r="BL97" s="221" t="s">
        <v>321</v>
      </c>
      <c r="BM97" s="348" t="s">
        <v>1463</v>
      </c>
      <c r="BN97" s="348" t="s">
        <v>1519</v>
      </c>
      <c r="BO97" s="348" t="s">
        <v>1520</v>
      </c>
      <c r="BP97" s="222" t="s">
        <v>957</v>
      </c>
      <c r="BQ97" s="222" t="s">
        <v>1652</v>
      </c>
      <c r="BR97" s="222" t="s">
        <v>354</v>
      </c>
      <c r="BS97" s="163" t="s">
        <v>841</v>
      </c>
      <c r="BT97" s="163" t="s">
        <v>842</v>
      </c>
      <c r="BU97" s="163" t="s">
        <v>843</v>
      </c>
      <c r="BV97" s="163" t="s">
        <v>1460</v>
      </c>
      <c r="BW97" s="163"/>
      <c r="BX97" s="163"/>
      <c r="BY97" s="163"/>
      <c r="BZ97" s="163"/>
      <c r="CA97" s="163"/>
      <c r="CB97" s="163"/>
      <c r="CC97" s="163"/>
      <c r="CD97" s="681"/>
      <c r="CE97" s="11" t="s">
        <v>2091</v>
      </c>
      <c r="CH97" s="11">
        <f t="shared" si="5"/>
        <v>4</v>
      </c>
    </row>
    <row r="98" spans="1:146" s="487" customFormat="1" x14ac:dyDescent="0.25">
      <c r="A98" s="488" t="s">
        <v>682</v>
      </c>
      <c r="B98" s="540"/>
      <c r="C98" s="597" t="s">
        <v>2017</v>
      </c>
      <c r="D98" s="544">
        <v>0.5</v>
      </c>
      <c r="E98" s="545" t="s">
        <v>1915</v>
      </c>
      <c r="F98" s="545"/>
      <c r="G98" s="545"/>
      <c r="H98" s="545" t="s">
        <v>2048</v>
      </c>
      <c r="I98" s="494"/>
      <c r="J98" s="494"/>
      <c r="K98" s="494"/>
      <c r="L98" s="495">
        <v>0.05</v>
      </c>
      <c r="M98" s="495">
        <v>0</v>
      </c>
      <c r="N98" s="495">
        <v>0.05</v>
      </c>
      <c r="O98" s="495">
        <v>0.05</v>
      </c>
      <c r="P98" s="495">
        <v>0</v>
      </c>
      <c r="Q98" s="496">
        <v>0.05</v>
      </c>
      <c r="R98" s="497" t="s">
        <v>901</v>
      </c>
      <c r="S98" s="498" t="s">
        <v>2063</v>
      </c>
      <c r="T98" s="499"/>
      <c r="U98" s="500"/>
      <c r="V98" s="501"/>
      <c r="W98" s="501"/>
      <c r="X98" s="501"/>
      <c r="Y98" s="501"/>
      <c r="Z98" s="519" t="s">
        <v>2063</v>
      </c>
      <c r="AA98" s="502"/>
      <c r="AB98" s="502"/>
      <c r="AC98" s="500"/>
      <c r="AD98" s="501"/>
      <c r="AE98" s="501"/>
      <c r="AF98" s="501"/>
      <c r="AG98" s="501"/>
      <c r="AH98" s="501"/>
      <c r="AI98" s="501"/>
      <c r="AJ98" s="503" t="s">
        <v>163</v>
      </c>
      <c r="AK98" s="500" t="s">
        <v>163</v>
      </c>
      <c r="AL98" s="504" t="s">
        <v>572</v>
      </c>
      <c r="AM98" s="505">
        <v>0.5</v>
      </c>
      <c r="AN98" s="520" t="s">
        <v>2147</v>
      </c>
      <c r="AO98" s="499">
        <v>0.5</v>
      </c>
      <c r="AP98" s="506" t="s">
        <v>23</v>
      </c>
      <c r="AQ98" s="500" t="s">
        <v>163</v>
      </c>
      <c r="AR98" s="507"/>
      <c r="AS98" s="507" t="s">
        <v>2047</v>
      </c>
      <c r="AT98" s="508">
        <v>0.5</v>
      </c>
      <c r="AU98" s="509" t="s">
        <v>158</v>
      </c>
      <c r="AV98" s="491" t="s">
        <v>172</v>
      </c>
      <c r="AW98" s="491">
        <v>0</v>
      </c>
      <c r="AX98" s="491">
        <v>0</v>
      </c>
      <c r="AY98" s="491">
        <v>0</v>
      </c>
      <c r="AZ98" s="491">
        <v>0</v>
      </c>
      <c r="BA98" s="510"/>
      <c r="BB98" s="511" t="s">
        <v>163</v>
      </c>
      <c r="BC98" s="512" t="s">
        <v>163</v>
      </c>
      <c r="BD98" s="504" t="s">
        <v>163</v>
      </c>
      <c r="BE98" s="513" t="s">
        <v>163</v>
      </c>
      <c r="BF98" s="514" t="s">
        <v>163</v>
      </c>
      <c r="BG98" s="515" t="s">
        <v>163</v>
      </c>
      <c r="BH98" s="516" t="s">
        <v>163</v>
      </c>
      <c r="BI98" s="516" t="s">
        <v>163</v>
      </c>
      <c r="BJ98" s="516" t="s">
        <v>163</v>
      </c>
      <c r="BK98" s="505" t="s">
        <v>163</v>
      </c>
      <c r="BL98" s="517" t="s">
        <v>163</v>
      </c>
      <c r="BM98" s="599" t="s">
        <v>2018</v>
      </c>
      <c r="BN98" s="599"/>
      <c r="BO98" s="599" t="s">
        <v>2069</v>
      </c>
      <c r="BP98" s="518" t="s">
        <v>957</v>
      </c>
      <c r="BQ98" s="518" t="s">
        <v>1653</v>
      </c>
      <c r="BR98" s="518" t="s">
        <v>354</v>
      </c>
      <c r="BS98" s="486" t="s">
        <v>2019</v>
      </c>
      <c r="BT98" s="486" t="s">
        <v>2020</v>
      </c>
      <c r="BU98" s="486"/>
      <c r="BV98" s="486"/>
      <c r="BW98" s="486"/>
      <c r="BX98" s="486"/>
      <c r="BY98" s="486"/>
      <c r="BZ98" s="486"/>
      <c r="CA98" s="486"/>
      <c r="CB98" s="486"/>
      <c r="CC98" s="486"/>
      <c r="CD98" s="682"/>
      <c r="CE98" s="487" t="s">
        <v>2091</v>
      </c>
      <c r="CH98" s="487">
        <f t="shared" si="5"/>
        <v>2</v>
      </c>
    </row>
    <row r="99" spans="1:146" s="443" customFormat="1" ht="27" thickBot="1" x14ac:dyDescent="0.3">
      <c r="A99" s="411" t="s">
        <v>2053</v>
      </c>
      <c r="B99" s="449">
        <v>445</v>
      </c>
      <c r="C99" s="444" t="s">
        <v>1330</v>
      </c>
      <c r="D99" s="450">
        <v>1.5</v>
      </c>
      <c r="E99" s="451"/>
      <c r="F99" s="451"/>
      <c r="G99" s="451"/>
      <c r="H99" s="451"/>
      <c r="I99" s="417"/>
      <c r="J99" s="417" t="s">
        <v>1754</v>
      </c>
      <c r="K99" s="417" t="s">
        <v>646</v>
      </c>
      <c r="L99" s="418">
        <v>0.15</v>
      </c>
      <c r="M99" s="418">
        <v>0.15</v>
      </c>
      <c r="N99" s="418">
        <v>0.15</v>
      </c>
      <c r="O99" s="418">
        <v>0.15</v>
      </c>
      <c r="P99" s="418">
        <v>0.15</v>
      </c>
      <c r="Q99" s="419">
        <v>0</v>
      </c>
      <c r="R99" s="420"/>
      <c r="S99" s="421"/>
      <c r="T99" s="422"/>
      <c r="U99" s="423"/>
      <c r="V99" s="424"/>
      <c r="W99" s="424"/>
      <c r="X99" s="424"/>
      <c r="Y99" s="424"/>
      <c r="Z99" s="421" t="s">
        <v>225</v>
      </c>
      <c r="AA99" s="425" t="s">
        <v>224</v>
      </c>
      <c r="AB99" s="425" t="s">
        <v>182</v>
      </c>
      <c r="AC99" s="423">
        <v>1</v>
      </c>
      <c r="AD99" s="424"/>
      <c r="AE99" s="424"/>
      <c r="AF99" s="424"/>
      <c r="AG99" s="424"/>
      <c r="AH99" s="424"/>
      <c r="AI99" s="424"/>
      <c r="AJ99" s="426" t="s">
        <v>163</v>
      </c>
      <c r="AK99" s="423" t="s">
        <v>163</v>
      </c>
      <c r="AL99" s="427" t="s">
        <v>573</v>
      </c>
      <c r="AM99" s="428">
        <v>1.5</v>
      </c>
      <c r="AN99" s="421" t="s">
        <v>1231</v>
      </c>
      <c r="AO99" s="422">
        <v>1.5</v>
      </c>
      <c r="AP99" s="429" t="s">
        <v>23</v>
      </c>
      <c r="AQ99" s="423" t="s">
        <v>163</v>
      </c>
      <c r="AR99" s="430" t="s">
        <v>159</v>
      </c>
      <c r="AS99" s="430" t="s">
        <v>1853</v>
      </c>
      <c r="AT99" s="431">
        <f>L99*10</f>
        <v>1.5</v>
      </c>
      <c r="AU99" s="432" t="s">
        <v>150</v>
      </c>
      <c r="AV99" s="414" t="s">
        <v>1324</v>
      </c>
      <c r="AW99" s="414">
        <v>1.5</v>
      </c>
      <c r="AX99" s="414">
        <v>1.5</v>
      </c>
      <c r="AY99" s="414">
        <v>0</v>
      </c>
      <c r="AZ99" s="414">
        <v>0</v>
      </c>
      <c r="BA99" s="433">
        <v>1.5</v>
      </c>
      <c r="BB99" s="434">
        <v>0.1</v>
      </c>
      <c r="BC99" s="435" t="s">
        <v>1050</v>
      </c>
      <c r="BD99" s="427" t="s">
        <v>163</v>
      </c>
      <c r="BE99" s="436" t="s">
        <v>163</v>
      </c>
      <c r="BF99" s="437" t="s">
        <v>163</v>
      </c>
      <c r="BG99" s="438">
        <v>2024.0204000000001</v>
      </c>
      <c r="BH99" s="439" t="s">
        <v>348</v>
      </c>
      <c r="BI99" s="439">
        <v>1.5</v>
      </c>
      <c r="BJ99" s="439" t="s">
        <v>320</v>
      </c>
      <c r="BK99" s="428">
        <v>1.5</v>
      </c>
      <c r="BL99" s="440" t="s">
        <v>321</v>
      </c>
      <c r="BM99" s="452" t="s">
        <v>849</v>
      </c>
      <c r="BN99" s="452"/>
      <c r="BO99" s="452"/>
      <c r="BP99" s="453" t="s">
        <v>957</v>
      </c>
      <c r="BQ99" s="453" t="s">
        <v>1652</v>
      </c>
      <c r="BR99" s="453" t="s">
        <v>1650</v>
      </c>
      <c r="BS99" s="442" t="s">
        <v>844</v>
      </c>
      <c r="BT99" s="442" t="s">
        <v>845</v>
      </c>
      <c r="BU99" s="442" t="s">
        <v>846</v>
      </c>
      <c r="BV99" s="442" t="s">
        <v>847</v>
      </c>
      <c r="BW99" s="442" t="s">
        <v>848</v>
      </c>
      <c r="BX99" s="442"/>
      <c r="BY99" s="442"/>
      <c r="BZ99" s="442"/>
      <c r="CA99" s="442"/>
      <c r="CB99" s="442"/>
      <c r="CC99" s="442"/>
      <c r="CD99" s="685"/>
      <c r="CE99" s="443" t="s">
        <v>2091</v>
      </c>
      <c r="CH99" s="443">
        <f t="shared" si="5"/>
        <v>5</v>
      </c>
    </row>
    <row r="100" spans="1:146" ht="13.8" thickBot="1" x14ac:dyDescent="0.3">
      <c r="A100" s="133"/>
      <c r="B100" s="264"/>
      <c r="C100" s="108" t="s">
        <v>1122</v>
      </c>
      <c r="D100" s="265"/>
      <c r="E100" s="143"/>
      <c r="F100" s="143"/>
      <c r="G100" s="143"/>
      <c r="H100" s="143"/>
      <c r="I100" s="266"/>
      <c r="J100" s="266"/>
      <c r="K100" s="266"/>
      <c r="L100" s="136"/>
      <c r="M100" s="136"/>
      <c r="N100" s="136"/>
      <c r="O100" s="136"/>
      <c r="P100" s="136"/>
      <c r="Q100" s="138"/>
      <c r="R100" s="139"/>
      <c r="S100" s="140"/>
      <c r="T100" s="141"/>
      <c r="U100" s="142"/>
      <c r="V100" s="143"/>
      <c r="W100" s="143"/>
      <c r="X100" s="143"/>
      <c r="Y100" s="143"/>
      <c r="Z100" s="140"/>
      <c r="AA100" s="144"/>
      <c r="AB100" s="144"/>
      <c r="AC100" s="142"/>
      <c r="AD100" s="143"/>
      <c r="AE100" s="143"/>
      <c r="AF100" s="143"/>
      <c r="AG100" s="143"/>
      <c r="AH100" s="143"/>
      <c r="AI100" s="143"/>
      <c r="AJ100" s="145"/>
      <c r="AK100" s="142"/>
      <c r="AL100" s="146"/>
      <c r="AM100" s="147"/>
      <c r="AN100" s="140"/>
      <c r="AO100" s="141"/>
      <c r="AP100" s="341"/>
      <c r="AQ100" s="142"/>
      <c r="AR100" s="151"/>
      <c r="AS100" s="151"/>
      <c r="AT100" s="152"/>
      <c r="AU100" s="153"/>
      <c r="AV100" s="154"/>
      <c r="AW100" s="154"/>
      <c r="AX100" s="154"/>
      <c r="AY100" s="154"/>
      <c r="AZ100" s="154"/>
      <c r="BA100" s="155"/>
      <c r="BB100" s="268"/>
      <c r="BC100" s="156"/>
      <c r="BD100" s="146"/>
      <c r="BE100" s="157"/>
      <c r="BF100" s="158"/>
      <c r="BG100" s="159"/>
      <c r="BH100" s="160"/>
      <c r="BI100" s="160"/>
      <c r="BJ100" s="160"/>
      <c r="BK100" s="147"/>
      <c r="BL100" s="158"/>
      <c r="BM100" s="11"/>
      <c r="BN100" s="11"/>
      <c r="BO100" s="11"/>
      <c r="BP100" s="11"/>
      <c r="BQ100" s="11"/>
      <c r="BR100" s="11"/>
      <c r="CH100" s="11">
        <f t="shared" si="5"/>
        <v>0</v>
      </c>
    </row>
    <row r="101" spans="1:146" s="487" customFormat="1" x14ac:dyDescent="0.25">
      <c r="A101" s="609" t="s">
        <v>1123</v>
      </c>
      <c r="B101" s="610"/>
      <c r="C101" s="611"/>
      <c r="D101" s="613"/>
      <c r="E101" s="614"/>
      <c r="F101" s="614"/>
      <c r="G101" s="614"/>
      <c r="H101" s="614"/>
      <c r="I101" s="615"/>
      <c r="J101" s="615"/>
      <c r="K101" s="615"/>
      <c r="L101" s="616"/>
      <c r="M101" s="616"/>
      <c r="N101" s="616"/>
      <c r="O101" s="616"/>
      <c r="P101" s="616"/>
      <c r="Q101" s="617"/>
      <c r="R101" s="618"/>
      <c r="S101" s="619"/>
      <c r="T101" s="620"/>
      <c r="U101" s="621"/>
      <c r="V101" s="614"/>
      <c r="W101" s="614"/>
      <c r="X101" s="614"/>
      <c r="Y101" s="614"/>
      <c r="Z101" s="619"/>
      <c r="AA101" s="622"/>
      <c r="AB101" s="622"/>
      <c r="AC101" s="621"/>
      <c r="AD101" s="614"/>
      <c r="AE101" s="614"/>
      <c r="AF101" s="614"/>
      <c r="AG101" s="614"/>
      <c r="AH101" s="614"/>
      <c r="AI101" s="614"/>
      <c r="AJ101" s="623"/>
      <c r="AK101" s="621"/>
      <c r="AL101" s="624"/>
      <c r="AM101" s="625"/>
      <c r="AN101" s="619"/>
      <c r="AO101" s="620"/>
      <c r="AP101" s="626"/>
      <c r="AQ101" s="621"/>
      <c r="AR101" s="627"/>
      <c r="AS101" s="627"/>
      <c r="AT101" s="628"/>
      <c r="AU101" s="629"/>
      <c r="AV101" s="612"/>
      <c r="AW101" s="612"/>
      <c r="AX101" s="612"/>
      <c r="AY101" s="612"/>
      <c r="AZ101" s="612"/>
      <c r="BA101" s="630"/>
      <c r="BB101" s="631"/>
      <c r="BC101" s="632"/>
      <c r="BD101" s="624"/>
      <c r="BE101" s="633"/>
      <c r="BF101" s="634"/>
      <c r="BG101" s="635"/>
      <c r="BH101" s="636"/>
      <c r="BI101" s="636"/>
      <c r="BJ101" s="636"/>
      <c r="BK101" s="625"/>
      <c r="BL101" s="634"/>
      <c r="BM101" s="637"/>
      <c r="BN101" s="637"/>
      <c r="BO101" s="637"/>
      <c r="BP101" s="638"/>
      <c r="BQ101" s="638"/>
      <c r="BR101" s="638"/>
      <c r="CH101" s="487">
        <f t="shared" si="5"/>
        <v>0</v>
      </c>
    </row>
    <row r="102" spans="1:146" x14ac:dyDescent="0.25">
      <c r="A102" s="192" t="s">
        <v>1124</v>
      </c>
      <c r="B102" s="225"/>
      <c r="C102" s="343"/>
      <c r="D102" s="354"/>
      <c r="E102" s="205"/>
      <c r="F102" s="205"/>
      <c r="G102" s="205"/>
      <c r="H102" s="205"/>
      <c r="I102" s="198"/>
      <c r="J102" s="198"/>
      <c r="K102" s="198"/>
      <c r="L102" s="199"/>
      <c r="M102" s="199"/>
      <c r="N102" s="199"/>
      <c r="O102" s="199"/>
      <c r="P102" s="199"/>
      <c r="Q102" s="200"/>
      <c r="R102" s="201"/>
      <c r="S102" s="202"/>
      <c r="T102" s="203"/>
      <c r="U102" s="204"/>
      <c r="V102" s="205"/>
      <c r="W102" s="205"/>
      <c r="X102" s="205"/>
      <c r="Y102" s="205"/>
      <c r="Z102" s="202"/>
      <c r="AA102" s="206"/>
      <c r="AB102" s="206"/>
      <c r="AC102" s="204"/>
      <c r="AD102" s="205"/>
      <c r="AE102" s="205"/>
      <c r="AF102" s="205"/>
      <c r="AG102" s="205"/>
      <c r="AH102" s="205"/>
      <c r="AI102" s="205"/>
      <c r="AJ102" s="207"/>
      <c r="AK102" s="204"/>
      <c r="AL102" s="208"/>
      <c r="AM102" s="209"/>
      <c r="AN102" s="202"/>
      <c r="AO102" s="203"/>
      <c r="AP102" s="210"/>
      <c r="AQ102" s="204"/>
      <c r="AR102" s="211"/>
      <c r="AS102" s="211"/>
      <c r="AT102" s="212"/>
      <c r="AU102" s="213"/>
      <c r="AV102" s="195"/>
      <c r="AW102" s="195"/>
      <c r="AX102" s="195"/>
      <c r="AY102" s="195"/>
      <c r="AZ102" s="195"/>
      <c r="BA102" s="214"/>
      <c r="BB102" s="215"/>
      <c r="BC102" s="216"/>
      <c r="BD102" s="208"/>
      <c r="BE102" s="217"/>
      <c r="BF102" s="218"/>
      <c r="BG102" s="219"/>
      <c r="BH102" s="220"/>
      <c r="BI102" s="220"/>
      <c r="BJ102" s="220"/>
      <c r="BK102" s="209"/>
      <c r="BL102" s="218"/>
      <c r="BM102" s="358"/>
      <c r="BN102" s="358"/>
      <c r="BO102" s="358"/>
      <c r="BP102" s="359"/>
      <c r="BQ102" s="359"/>
      <c r="BR102" s="359"/>
      <c r="CH102" s="11">
        <f t="shared" si="5"/>
        <v>0</v>
      </c>
    </row>
    <row r="103" spans="1:146" s="487" customFormat="1" x14ac:dyDescent="0.25">
      <c r="A103" s="488" t="s">
        <v>1125</v>
      </c>
      <c r="B103" s="521"/>
      <c r="C103" s="597"/>
      <c r="D103" s="607"/>
      <c r="E103" s="501"/>
      <c r="F103" s="501"/>
      <c r="G103" s="501"/>
      <c r="H103" s="501"/>
      <c r="I103" s="494"/>
      <c r="J103" s="494"/>
      <c r="K103" s="494"/>
      <c r="L103" s="495"/>
      <c r="M103" s="495"/>
      <c r="N103" s="495"/>
      <c r="O103" s="495"/>
      <c r="P103" s="495"/>
      <c r="Q103" s="496"/>
      <c r="R103" s="497"/>
      <c r="S103" s="498"/>
      <c r="T103" s="499"/>
      <c r="U103" s="500"/>
      <c r="V103" s="501"/>
      <c r="W103" s="501"/>
      <c r="X103" s="501"/>
      <c r="Y103" s="501"/>
      <c r="Z103" s="498"/>
      <c r="AA103" s="502"/>
      <c r="AB103" s="502"/>
      <c r="AC103" s="500"/>
      <c r="AD103" s="501"/>
      <c r="AE103" s="501"/>
      <c r="AF103" s="501"/>
      <c r="AG103" s="501"/>
      <c r="AH103" s="501"/>
      <c r="AI103" s="501"/>
      <c r="AJ103" s="503"/>
      <c r="AK103" s="500"/>
      <c r="AL103" s="504"/>
      <c r="AM103" s="505"/>
      <c r="AN103" s="498"/>
      <c r="AO103" s="499"/>
      <c r="AP103" s="506"/>
      <c r="AQ103" s="500"/>
      <c r="AR103" s="507"/>
      <c r="AS103" s="507"/>
      <c r="AT103" s="508"/>
      <c r="AU103" s="509"/>
      <c r="AV103" s="491"/>
      <c r="AW103" s="491"/>
      <c r="AX103" s="491"/>
      <c r="AY103" s="491"/>
      <c r="AZ103" s="491"/>
      <c r="BA103" s="510"/>
      <c r="BB103" s="511"/>
      <c r="BC103" s="512"/>
      <c r="BD103" s="504"/>
      <c r="BE103" s="513"/>
      <c r="BF103" s="514"/>
      <c r="BG103" s="515"/>
      <c r="BH103" s="516"/>
      <c r="BI103" s="516"/>
      <c r="BJ103" s="516"/>
      <c r="BK103" s="505"/>
      <c r="BL103" s="514"/>
      <c r="BM103" s="637"/>
      <c r="BN103" s="637"/>
      <c r="BO103" s="637"/>
      <c r="BP103" s="638"/>
      <c r="BQ103" s="638"/>
      <c r="BR103" s="638"/>
      <c r="CH103" s="487">
        <f t="shared" si="5"/>
        <v>0</v>
      </c>
    </row>
    <row r="104" spans="1:146" x14ac:dyDescent="0.25">
      <c r="A104" s="192" t="s">
        <v>1126</v>
      </c>
      <c r="B104" s="225"/>
      <c r="C104" s="343"/>
      <c r="D104" s="354"/>
      <c r="E104" s="205"/>
      <c r="F104" s="205"/>
      <c r="G104" s="205"/>
      <c r="H104" s="205"/>
      <c r="I104" s="198"/>
      <c r="J104" s="198"/>
      <c r="K104" s="198"/>
      <c r="L104" s="199"/>
      <c r="M104" s="199"/>
      <c r="N104" s="199"/>
      <c r="O104" s="199"/>
      <c r="P104" s="199"/>
      <c r="Q104" s="200"/>
      <c r="R104" s="201"/>
      <c r="S104" s="202"/>
      <c r="T104" s="203"/>
      <c r="U104" s="204"/>
      <c r="V104" s="205"/>
      <c r="W104" s="205"/>
      <c r="X104" s="205"/>
      <c r="Y104" s="205"/>
      <c r="Z104" s="202"/>
      <c r="AA104" s="206"/>
      <c r="AB104" s="206"/>
      <c r="AC104" s="204"/>
      <c r="AD104" s="205"/>
      <c r="AE104" s="205"/>
      <c r="AF104" s="205"/>
      <c r="AG104" s="205"/>
      <c r="AH104" s="205"/>
      <c r="AI104" s="205"/>
      <c r="AJ104" s="207"/>
      <c r="AK104" s="204"/>
      <c r="AL104" s="208"/>
      <c r="AM104" s="209"/>
      <c r="AN104" s="202"/>
      <c r="AO104" s="203"/>
      <c r="AP104" s="210"/>
      <c r="AQ104" s="204"/>
      <c r="AR104" s="211"/>
      <c r="AS104" s="211"/>
      <c r="AT104" s="212"/>
      <c r="AU104" s="213"/>
      <c r="AV104" s="195"/>
      <c r="AW104" s="195"/>
      <c r="AX104" s="195"/>
      <c r="AY104" s="195"/>
      <c r="AZ104" s="195"/>
      <c r="BA104" s="214"/>
      <c r="BB104" s="215"/>
      <c r="BC104" s="216"/>
      <c r="BD104" s="208"/>
      <c r="BE104" s="217"/>
      <c r="BF104" s="218"/>
      <c r="BG104" s="219"/>
      <c r="BH104" s="220"/>
      <c r="BI104" s="220"/>
      <c r="BJ104" s="220"/>
      <c r="BK104" s="209"/>
      <c r="BL104" s="218"/>
      <c r="BM104" s="358"/>
      <c r="BN104" s="358"/>
      <c r="BO104" s="358"/>
      <c r="BP104" s="359"/>
      <c r="BQ104" s="359"/>
      <c r="BR104" s="359"/>
      <c r="CH104" s="11">
        <f t="shared" si="5"/>
        <v>0</v>
      </c>
    </row>
    <row r="105" spans="1:146" s="487" customFormat="1" x14ac:dyDescent="0.25">
      <c r="A105" s="488" t="s">
        <v>1127</v>
      </c>
      <c r="B105" s="521"/>
      <c r="C105" s="597"/>
      <c r="D105" s="607"/>
      <c r="E105" s="501"/>
      <c r="F105" s="501"/>
      <c r="G105" s="501"/>
      <c r="H105" s="501"/>
      <c r="I105" s="494"/>
      <c r="J105" s="494"/>
      <c r="K105" s="494"/>
      <c r="L105" s="495"/>
      <c r="M105" s="495"/>
      <c r="N105" s="495"/>
      <c r="O105" s="495"/>
      <c r="P105" s="495"/>
      <c r="Q105" s="496"/>
      <c r="R105" s="497"/>
      <c r="S105" s="498"/>
      <c r="T105" s="499"/>
      <c r="U105" s="500"/>
      <c r="V105" s="501"/>
      <c r="W105" s="501"/>
      <c r="X105" s="501"/>
      <c r="Y105" s="501"/>
      <c r="Z105" s="498"/>
      <c r="AA105" s="502"/>
      <c r="AB105" s="502"/>
      <c r="AC105" s="500"/>
      <c r="AD105" s="501"/>
      <c r="AE105" s="501"/>
      <c r="AF105" s="501"/>
      <c r="AG105" s="501"/>
      <c r="AH105" s="501"/>
      <c r="AI105" s="501"/>
      <c r="AJ105" s="503"/>
      <c r="AK105" s="500"/>
      <c r="AL105" s="504"/>
      <c r="AM105" s="505"/>
      <c r="AN105" s="498"/>
      <c r="AO105" s="499"/>
      <c r="AP105" s="506"/>
      <c r="AQ105" s="500"/>
      <c r="AR105" s="507"/>
      <c r="AS105" s="507"/>
      <c r="AT105" s="508"/>
      <c r="AU105" s="509"/>
      <c r="AV105" s="491"/>
      <c r="AW105" s="491"/>
      <c r="AX105" s="491"/>
      <c r="AY105" s="491"/>
      <c r="AZ105" s="491"/>
      <c r="BA105" s="510"/>
      <c r="BB105" s="511"/>
      <c r="BC105" s="512"/>
      <c r="BD105" s="504"/>
      <c r="BE105" s="513"/>
      <c r="BF105" s="514"/>
      <c r="BG105" s="515"/>
      <c r="BH105" s="516"/>
      <c r="BI105" s="516"/>
      <c r="BJ105" s="516"/>
      <c r="BK105" s="505"/>
      <c r="BL105" s="514"/>
      <c r="BM105" s="637"/>
      <c r="BN105" s="637"/>
      <c r="BO105" s="637"/>
      <c r="BP105" s="638"/>
      <c r="BQ105" s="638"/>
      <c r="BR105" s="638"/>
      <c r="CH105" s="487">
        <f t="shared" si="5"/>
        <v>0</v>
      </c>
    </row>
    <row r="106" spans="1:146" x14ac:dyDescent="0.25">
      <c r="A106" s="192" t="s">
        <v>1128</v>
      </c>
      <c r="B106" s="225"/>
      <c r="C106" s="343"/>
      <c r="D106" s="354"/>
      <c r="E106" s="205"/>
      <c r="F106" s="205"/>
      <c r="G106" s="205"/>
      <c r="H106" s="205"/>
      <c r="I106" s="198"/>
      <c r="J106" s="198"/>
      <c r="K106" s="198"/>
      <c r="L106" s="199"/>
      <c r="M106" s="199"/>
      <c r="N106" s="199"/>
      <c r="O106" s="199"/>
      <c r="P106" s="199"/>
      <c r="Q106" s="200"/>
      <c r="R106" s="201"/>
      <c r="S106" s="202"/>
      <c r="T106" s="203"/>
      <c r="U106" s="204"/>
      <c r="V106" s="205"/>
      <c r="W106" s="205"/>
      <c r="X106" s="205"/>
      <c r="Y106" s="205"/>
      <c r="Z106" s="202"/>
      <c r="AA106" s="206"/>
      <c r="AB106" s="206"/>
      <c r="AC106" s="204"/>
      <c r="AD106" s="205"/>
      <c r="AE106" s="205"/>
      <c r="AF106" s="205"/>
      <c r="AG106" s="205"/>
      <c r="AH106" s="205"/>
      <c r="AI106" s="205"/>
      <c r="AJ106" s="207"/>
      <c r="AK106" s="204"/>
      <c r="AL106" s="208"/>
      <c r="AM106" s="209"/>
      <c r="AN106" s="202"/>
      <c r="AO106" s="203"/>
      <c r="AP106" s="210"/>
      <c r="AQ106" s="204"/>
      <c r="AR106" s="211"/>
      <c r="AS106" s="211"/>
      <c r="AT106" s="212"/>
      <c r="AU106" s="213"/>
      <c r="AV106" s="195"/>
      <c r="AW106" s="195"/>
      <c r="AX106" s="195"/>
      <c r="AY106" s="195"/>
      <c r="AZ106" s="195"/>
      <c r="BA106" s="214"/>
      <c r="BB106" s="215"/>
      <c r="BC106" s="216"/>
      <c r="BD106" s="208"/>
      <c r="BE106" s="217"/>
      <c r="BF106" s="218"/>
      <c r="BG106" s="219"/>
      <c r="BH106" s="220"/>
      <c r="BI106" s="220"/>
      <c r="BJ106" s="220"/>
      <c r="BK106" s="209"/>
      <c r="BL106" s="218"/>
      <c r="BM106" s="358"/>
      <c r="BN106" s="358"/>
      <c r="BO106" s="358"/>
      <c r="BP106" s="359"/>
      <c r="BQ106" s="359"/>
      <c r="BR106" s="359"/>
      <c r="CH106" s="11">
        <f t="shared" si="5"/>
        <v>0</v>
      </c>
    </row>
    <row r="107" spans="1:146" s="487" customFormat="1" x14ac:dyDescent="0.25">
      <c r="A107" s="488" t="s">
        <v>1129</v>
      </c>
      <c r="B107" s="521"/>
      <c r="C107" s="597"/>
      <c r="D107" s="607"/>
      <c r="E107" s="501"/>
      <c r="F107" s="501"/>
      <c r="G107" s="501"/>
      <c r="H107" s="501"/>
      <c r="I107" s="494"/>
      <c r="J107" s="494"/>
      <c r="K107" s="494"/>
      <c r="L107" s="495"/>
      <c r="M107" s="495"/>
      <c r="N107" s="495"/>
      <c r="O107" s="495"/>
      <c r="P107" s="495"/>
      <c r="Q107" s="496"/>
      <c r="R107" s="497"/>
      <c r="S107" s="498"/>
      <c r="T107" s="499"/>
      <c r="U107" s="500"/>
      <c r="V107" s="501"/>
      <c r="W107" s="501"/>
      <c r="X107" s="501"/>
      <c r="Y107" s="501"/>
      <c r="Z107" s="498"/>
      <c r="AA107" s="502"/>
      <c r="AB107" s="502"/>
      <c r="AC107" s="500"/>
      <c r="AD107" s="501"/>
      <c r="AE107" s="501"/>
      <c r="AF107" s="501"/>
      <c r="AG107" s="501"/>
      <c r="AH107" s="501"/>
      <c r="AI107" s="501"/>
      <c r="AJ107" s="503"/>
      <c r="AK107" s="500"/>
      <c r="AL107" s="504"/>
      <c r="AM107" s="505"/>
      <c r="AN107" s="498"/>
      <c r="AO107" s="499"/>
      <c r="AP107" s="506"/>
      <c r="AQ107" s="500"/>
      <c r="AR107" s="507"/>
      <c r="AS107" s="507"/>
      <c r="AT107" s="508"/>
      <c r="AU107" s="509"/>
      <c r="AV107" s="491"/>
      <c r="AW107" s="491"/>
      <c r="AX107" s="491"/>
      <c r="AY107" s="491"/>
      <c r="AZ107" s="491"/>
      <c r="BA107" s="510"/>
      <c r="BB107" s="511"/>
      <c r="BC107" s="512"/>
      <c r="BD107" s="504"/>
      <c r="BE107" s="513"/>
      <c r="BF107" s="514"/>
      <c r="BG107" s="515"/>
      <c r="BH107" s="516"/>
      <c r="BI107" s="516"/>
      <c r="BJ107" s="516"/>
      <c r="BK107" s="505"/>
      <c r="BL107" s="514"/>
      <c r="BM107" s="637"/>
      <c r="BN107" s="637"/>
      <c r="BO107" s="637"/>
      <c r="BP107" s="638"/>
      <c r="BQ107" s="638"/>
      <c r="BR107" s="638"/>
      <c r="CH107" s="487">
        <f t="shared" si="5"/>
        <v>0</v>
      </c>
    </row>
    <row r="108" spans="1:146" x14ac:dyDescent="0.25">
      <c r="A108" s="192" t="s">
        <v>1130</v>
      </c>
      <c r="B108" s="225"/>
      <c r="C108" s="343"/>
      <c r="D108" s="354"/>
      <c r="E108" s="205"/>
      <c r="F108" s="205"/>
      <c r="G108" s="205"/>
      <c r="H108" s="205"/>
      <c r="I108" s="198"/>
      <c r="J108" s="198"/>
      <c r="K108" s="198"/>
      <c r="L108" s="199"/>
      <c r="M108" s="199"/>
      <c r="N108" s="199"/>
      <c r="O108" s="199"/>
      <c r="P108" s="199"/>
      <c r="Q108" s="200"/>
      <c r="R108" s="201"/>
      <c r="S108" s="202"/>
      <c r="T108" s="203"/>
      <c r="U108" s="204"/>
      <c r="V108" s="205"/>
      <c r="W108" s="205"/>
      <c r="X108" s="205"/>
      <c r="Y108" s="205"/>
      <c r="Z108" s="202"/>
      <c r="AA108" s="206"/>
      <c r="AB108" s="206"/>
      <c r="AC108" s="204"/>
      <c r="AD108" s="205"/>
      <c r="AE108" s="205"/>
      <c r="AF108" s="205"/>
      <c r="AG108" s="205"/>
      <c r="AH108" s="205"/>
      <c r="AI108" s="205"/>
      <c r="AJ108" s="207"/>
      <c r="AK108" s="204"/>
      <c r="AL108" s="208"/>
      <c r="AM108" s="209"/>
      <c r="AN108" s="202"/>
      <c r="AO108" s="203"/>
      <c r="AP108" s="210"/>
      <c r="AQ108" s="204"/>
      <c r="AR108" s="211"/>
      <c r="AS108" s="211"/>
      <c r="AT108" s="212"/>
      <c r="AU108" s="213"/>
      <c r="AV108" s="195"/>
      <c r="AW108" s="195"/>
      <c r="AX108" s="195"/>
      <c r="AY108" s="195"/>
      <c r="AZ108" s="195"/>
      <c r="BA108" s="214"/>
      <c r="BB108" s="215"/>
      <c r="BC108" s="216"/>
      <c r="BD108" s="208"/>
      <c r="BE108" s="217"/>
      <c r="BF108" s="218"/>
      <c r="BG108" s="219"/>
      <c r="BH108" s="220"/>
      <c r="BI108" s="220"/>
      <c r="BJ108" s="220"/>
      <c r="BK108" s="209"/>
      <c r="BL108" s="218"/>
      <c r="BM108" s="358"/>
      <c r="BN108" s="358"/>
      <c r="BO108" s="358"/>
      <c r="BP108" s="359"/>
      <c r="BQ108" s="359"/>
      <c r="BR108" s="359"/>
      <c r="CH108" s="11">
        <f t="shared" si="5"/>
        <v>0</v>
      </c>
    </row>
    <row r="109" spans="1:146" s="487" customFormat="1" x14ac:dyDescent="0.25">
      <c r="A109" s="488" t="s">
        <v>1131</v>
      </c>
      <c r="B109" s="521"/>
      <c r="C109" s="597"/>
      <c r="D109" s="607"/>
      <c r="E109" s="501"/>
      <c r="F109" s="501"/>
      <c r="G109" s="501"/>
      <c r="H109" s="501"/>
      <c r="I109" s="494"/>
      <c r="J109" s="494"/>
      <c r="K109" s="494"/>
      <c r="L109" s="495"/>
      <c r="M109" s="495"/>
      <c r="N109" s="495"/>
      <c r="O109" s="495"/>
      <c r="P109" s="495"/>
      <c r="Q109" s="496"/>
      <c r="R109" s="497"/>
      <c r="S109" s="498"/>
      <c r="T109" s="499"/>
      <c r="U109" s="500"/>
      <c r="V109" s="501"/>
      <c r="W109" s="501"/>
      <c r="X109" s="501"/>
      <c r="Y109" s="501"/>
      <c r="Z109" s="498"/>
      <c r="AA109" s="502"/>
      <c r="AB109" s="502"/>
      <c r="AC109" s="500"/>
      <c r="AD109" s="501"/>
      <c r="AE109" s="501"/>
      <c r="AF109" s="501"/>
      <c r="AG109" s="501"/>
      <c r="AH109" s="501"/>
      <c r="AI109" s="501"/>
      <c r="AJ109" s="503"/>
      <c r="AK109" s="500"/>
      <c r="AL109" s="504"/>
      <c r="AM109" s="505"/>
      <c r="AN109" s="498"/>
      <c r="AO109" s="499"/>
      <c r="AP109" s="506"/>
      <c r="AQ109" s="500"/>
      <c r="AR109" s="507"/>
      <c r="AS109" s="507"/>
      <c r="AT109" s="508"/>
      <c r="AU109" s="509"/>
      <c r="AV109" s="491"/>
      <c r="AW109" s="491"/>
      <c r="AX109" s="491"/>
      <c r="AY109" s="491"/>
      <c r="AZ109" s="491"/>
      <c r="BA109" s="510"/>
      <c r="BB109" s="511"/>
      <c r="BC109" s="512"/>
      <c r="BD109" s="504"/>
      <c r="BE109" s="513"/>
      <c r="BF109" s="514"/>
      <c r="BG109" s="515"/>
      <c r="BH109" s="516"/>
      <c r="BI109" s="516"/>
      <c r="BJ109" s="516"/>
      <c r="BK109" s="505"/>
      <c r="BL109" s="514"/>
      <c r="BM109" s="637"/>
      <c r="BN109" s="637"/>
      <c r="BO109" s="637"/>
      <c r="BP109" s="638"/>
      <c r="BQ109" s="638"/>
      <c r="BR109" s="638"/>
      <c r="CH109" s="487">
        <f t="shared" si="5"/>
        <v>0</v>
      </c>
    </row>
    <row r="110" spans="1:146" ht="13.8" thickBot="1" x14ac:dyDescent="0.3">
      <c r="A110" s="309" t="s">
        <v>1132</v>
      </c>
      <c r="B110" s="360"/>
      <c r="C110" s="345"/>
      <c r="D110" s="361"/>
      <c r="E110" s="319"/>
      <c r="F110" s="319"/>
      <c r="G110" s="319"/>
      <c r="H110" s="319"/>
      <c r="I110" s="313"/>
      <c r="J110" s="313"/>
      <c r="K110" s="313"/>
      <c r="L110" s="314"/>
      <c r="M110" s="314"/>
      <c r="N110" s="314"/>
      <c r="O110" s="314"/>
      <c r="P110" s="314"/>
      <c r="Q110" s="315"/>
      <c r="R110" s="316"/>
      <c r="S110" s="317"/>
      <c r="T110" s="318"/>
      <c r="U110" s="304"/>
      <c r="V110" s="319"/>
      <c r="W110" s="319"/>
      <c r="X110" s="319"/>
      <c r="Y110" s="319"/>
      <c r="Z110" s="317"/>
      <c r="AA110" s="320"/>
      <c r="AB110" s="320"/>
      <c r="AC110" s="304"/>
      <c r="AD110" s="319"/>
      <c r="AE110" s="319"/>
      <c r="AF110" s="319"/>
      <c r="AG110" s="319"/>
      <c r="AH110" s="319"/>
      <c r="AI110" s="319"/>
      <c r="AJ110" s="321"/>
      <c r="AK110" s="304"/>
      <c r="AL110" s="322"/>
      <c r="AM110" s="323"/>
      <c r="AN110" s="317"/>
      <c r="AO110" s="318"/>
      <c r="AP110" s="324"/>
      <c r="AQ110" s="304"/>
      <c r="AR110" s="305"/>
      <c r="AS110" s="305"/>
      <c r="AT110" s="325"/>
      <c r="AU110" s="326"/>
      <c r="AV110" s="311"/>
      <c r="AW110" s="311"/>
      <c r="AX110" s="311"/>
      <c r="AY110" s="311"/>
      <c r="AZ110" s="311"/>
      <c r="BA110" s="327"/>
      <c r="BB110" s="328"/>
      <c r="BC110" s="329"/>
      <c r="BD110" s="322"/>
      <c r="BE110" s="330"/>
      <c r="BF110" s="331"/>
      <c r="BG110" s="332"/>
      <c r="BH110" s="333"/>
      <c r="BI110" s="333"/>
      <c r="BJ110" s="333"/>
      <c r="BK110" s="323"/>
      <c r="BL110" s="331"/>
      <c r="BM110" s="358"/>
      <c r="BN110" s="358"/>
      <c r="BO110" s="358"/>
      <c r="BP110" s="359"/>
      <c r="BQ110" s="359"/>
      <c r="BR110" s="359"/>
      <c r="CH110" s="11">
        <f t="shared" si="5"/>
        <v>0</v>
      </c>
    </row>
    <row r="111" spans="1:146" s="270" customFormat="1" ht="13.8" thickBot="1" x14ac:dyDescent="0.3">
      <c r="A111" s="133"/>
      <c r="B111" s="264"/>
      <c r="C111" s="108" t="s">
        <v>2013</v>
      </c>
      <c r="D111" s="265"/>
      <c r="E111" s="143"/>
      <c r="F111" s="143"/>
      <c r="G111" s="143"/>
      <c r="H111" s="143"/>
      <c r="I111" s="266"/>
      <c r="J111" s="266"/>
      <c r="K111" s="266"/>
      <c r="L111" s="136"/>
      <c r="M111" s="136"/>
      <c r="N111" s="136"/>
      <c r="O111" s="136"/>
      <c r="P111" s="136"/>
      <c r="Q111" s="138"/>
      <c r="R111" s="139"/>
      <c r="S111" s="140"/>
      <c r="T111" s="141"/>
      <c r="U111" s="142"/>
      <c r="V111" s="143"/>
      <c r="W111" s="143"/>
      <c r="X111" s="143"/>
      <c r="Y111" s="143"/>
      <c r="Z111" s="140"/>
      <c r="AA111" s="144"/>
      <c r="AB111" s="144"/>
      <c r="AC111" s="142"/>
      <c r="AD111" s="143"/>
      <c r="AE111" s="143"/>
      <c r="AF111" s="143"/>
      <c r="AG111" s="143"/>
      <c r="AH111" s="143"/>
      <c r="AI111" s="143"/>
      <c r="AJ111" s="145"/>
      <c r="AK111" s="142"/>
      <c r="AL111" s="146"/>
      <c r="AM111" s="147"/>
      <c r="AN111" s="140"/>
      <c r="AO111" s="141"/>
      <c r="AP111" s="341"/>
      <c r="AQ111" s="142"/>
      <c r="AR111" s="151"/>
      <c r="AS111" s="151"/>
      <c r="AT111" s="152"/>
      <c r="AU111" s="153"/>
      <c r="AV111" s="154"/>
      <c r="AW111" s="154"/>
      <c r="AX111" s="154"/>
      <c r="AY111" s="154"/>
      <c r="AZ111" s="154"/>
      <c r="BA111" s="155"/>
      <c r="BB111" s="268"/>
      <c r="BC111" s="156"/>
      <c r="BD111" s="146"/>
      <c r="BE111" s="157"/>
      <c r="BF111" s="158"/>
      <c r="BG111" s="159"/>
      <c r="BH111" s="160"/>
      <c r="BI111" s="160"/>
      <c r="BJ111" s="160"/>
      <c r="BK111" s="147"/>
      <c r="BL111" s="158"/>
      <c r="BM111" s="362"/>
      <c r="BN111" s="362"/>
      <c r="BO111" s="362"/>
      <c r="BP111" s="363"/>
      <c r="BQ111" s="363"/>
      <c r="BR111" s="363"/>
      <c r="CE111" s="11"/>
      <c r="CF111" s="11"/>
      <c r="CG111" s="11"/>
      <c r="CH111" s="11">
        <f t="shared" si="5"/>
        <v>0</v>
      </c>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row>
    <row r="112" spans="1:146" s="522" customFormat="1" x14ac:dyDescent="0.25">
      <c r="A112" s="454" t="s">
        <v>2014</v>
      </c>
      <c r="B112" s="525"/>
      <c r="C112" s="596" t="s">
        <v>2015</v>
      </c>
      <c r="D112" s="606">
        <v>1</v>
      </c>
      <c r="E112" s="467" t="s">
        <v>1917</v>
      </c>
      <c r="F112" s="467"/>
      <c r="G112" s="467" t="s">
        <v>1915</v>
      </c>
      <c r="H112" s="467" t="s">
        <v>2016</v>
      </c>
      <c r="I112" s="460"/>
      <c r="J112" s="460"/>
      <c r="K112" s="460"/>
      <c r="L112" s="461">
        <v>0.1</v>
      </c>
      <c r="M112" s="461">
        <v>0</v>
      </c>
      <c r="N112" s="461">
        <v>0</v>
      </c>
      <c r="O112" s="461">
        <v>0</v>
      </c>
      <c r="P112" s="461">
        <v>0</v>
      </c>
      <c r="Q112" s="462">
        <v>0</v>
      </c>
      <c r="R112" s="463" t="s">
        <v>901</v>
      </c>
      <c r="S112" s="464" t="s">
        <v>2063</v>
      </c>
      <c r="T112" s="465" t="s">
        <v>2063</v>
      </c>
      <c r="U112" s="466" t="s">
        <v>2063</v>
      </c>
      <c r="V112" s="467" t="s">
        <v>2063</v>
      </c>
      <c r="W112" s="467" t="s">
        <v>2063</v>
      </c>
      <c r="X112" s="467" t="s">
        <v>2063</v>
      </c>
      <c r="Y112" s="467" t="s">
        <v>2063</v>
      </c>
      <c r="Z112" s="464" t="s">
        <v>2063</v>
      </c>
      <c r="AA112" s="469" t="s">
        <v>2063</v>
      </c>
      <c r="AB112" s="469" t="s">
        <v>2063</v>
      </c>
      <c r="AC112" s="466" t="s">
        <v>2063</v>
      </c>
      <c r="AD112" s="467"/>
      <c r="AE112" s="467"/>
      <c r="AF112" s="467"/>
      <c r="AG112" s="467"/>
      <c r="AH112" s="467"/>
      <c r="AI112" s="467"/>
      <c r="AJ112" s="470" t="s">
        <v>163</v>
      </c>
      <c r="AK112" s="466" t="s">
        <v>163</v>
      </c>
      <c r="AL112" s="471" t="s">
        <v>2063</v>
      </c>
      <c r="AM112" s="472" t="s">
        <v>2063</v>
      </c>
      <c r="AN112" s="464" t="s">
        <v>2063</v>
      </c>
      <c r="AO112" s="465" t="s">
        <v>2063</v>
      </c>
      <c r="AP112" s="473" t="s">
        <v>2063</v>
      </c>
      <c r="AQ112" s="466" t="s">
        <v>2063</v>
      </c>
      <c r="AR112" s="474"/>
      <c r="AS112" s="474" t="s">
        <v>2064</v>
      </c>
      <c r="AT112" s="475">
        <v>1</v>
      </c>
      <c r="AU112" s="476" t="s">
        <v>150</v>
      </c>
      <c r="AV112" s="457" t="s">
        <v>163</v>
      </c>
      <c r="AW112" s="457" t="s">
        <v>163</v>
      </c>
      <c r="AX112" s="457" t="s">
        <v>163</v>
      </c>
      <c r="AY112" s="457" t="s">
        <v>163</v>
      </c>
      <c r="AZ112" s="457" t="s">
        <v>163</v>
      </c>
      <c r="BA112" s="527"/>
      <c r="BB112" s="478" t="s">
        <v>163</v>
      </c>
      <c r="BC112" s="479" t="s">
        <v>163</v>
      </c>
      <c r="BD112" s="471" t="s">
        <v>163</v>
      </c>
      <c r="BE112" s="480" t="s">
        <v>163</v>
      </c>
      <c r="BF112" s="481" t="s">
        <v>163</v>
      </c>
      <c r="BG112" s="482" t="s">
        <v>163</v>
      </c>
      <c r="BH112" s="483" t="s">
        <v>163</v>
      </c>
      <c r="BI112" s="483" t="s">
        <v>163</v>
      </c>
      <c r="BJ112" s="483" t="s">
        <v>163</v>
      </c>
      <c r="BK112" s="472" t="s">
        <v>163</v>
      </c>
      <c r="BL112" s="481" t="s">
        <v>163</v>
      </c>
      <c r="BM112" s="639" t="s">
        <v>2065</v>
      </c>
      <c r="BN112" s="639"/>
      <c r="BO112" s="639"/>
      <c r="BP112" s="640"/>
      <c r="BQ112" s="640"/>
      <c r="BR112" s="640"/>
      <c r="BS112" s="522" t="s">
        <v>2070</v>
      </c>
      <c r="BT112" s="522" t="s">
        <v>2071</v>
      </c>
      <c r="CE112" s="487" t="s">
        <v>2091</v>
      </c>
      <c r="CF112" s="487"/>
      <c r="CG112" s="487"/>
      <c r="CH112" s="487">
        <f t="shared" si="5"/>
        <v>2</v>
      </c>
      <c r="CI112" s="487"/>
      <c r="CJ112" s="487"/>
      <c r="CK112" s="487"/>
      <c r="CL112" s="487"/>
      <c r="CM112" s="487"/>
      <c r="CN112" s="487"/>
      <c r="CO112" s="487"/>
      <c r="CP112" s="487"/>
      <c r="CQ112" s="487"/>
      <c r="CR112" s="487"/>
      <c r="CS112" s="487"/>
      <c r="CT112" s="487"/>
      <c r="CU112" s="487"/>
      <c r="CV112" s="487"/>
      <c r="CW112" s="487"/>
      <c r="CX112" s="487"/>
      <c r="CY112" s="487"/>
      <c r="CZ112" s="487"/>
      <c r="DA112" s="487"/>
      <c r="DB112" s="487"/>
      <c r="DC112" s="487"/>
      <c r="DD112" s="487"/>
      <c r="DE112" s="487"/>
      <c r="DF112" s="487"/>
      <c r="DG112" s="487"/>
      <c r="DH112" s="487"/>
      <c r="DI112" s="487"/>
      <c r="DJ112" s="487"/>
      <c r="DK112" s="487"/>
      <c r="DL112" s="487"/>
      <c r="DM112" s="487"/>
      <c r="DN112" s="487"/>
      <c r="DO112" s="487"/>
      <c r="DP112" s="487"/>
      <c r="DQ112" s="487"/>
      <c r="DR112" s="487"/>
      <c r="DS112" s="487"/>
      <c r="DT112" s="487"/>
      <c r="DU112" s="487"/>
      <c r="DV112" s="487"/>
      <c r="DW112" s="487"/>
      <c r="DX112" s="487"/>
      <c r="DY112" s="487"/>
      <c r="DZ112" s="487"/>
      <c r="EA112" s="487"/>
      <c r="EB112" s="487"/>
      <c r="EC112" s="487"/>
      <c r="ED112" s="487"/>
      <c r="EE112" s="487"/>
      <c r="EF112" s="487"/>
      <c r="EG112" s="487"/>
      <c r="EH112" s="487"/>
      <c r="EI112" s="487"/>
      <c r="EJ112" s="487"/>
      <c r="EK112" s="487"/>
      <c r="EL112" s="487"/>
      <c r="EM112" s="487"/>
      <c r="EN112" s="487"/>
      <c r="EO112" s="487"/>
      <c r="EP112" s="487"/>
    </row>
    <row r="113" spans="1:146" s="355" customFormat="1" x14ac:dyDescent="0.25">
      <c r="A113" s="192" t="s">
        <v>2057</v>
      </c>
      <c r="B113" s="225"/>
      <c r="C113" s="343"/>
      <c r="D113" s="354"/>
      <c r="E113" s="205"/>
      <c r="F113" s="205"/>
      <c r="G113" s="205"/>
      <c r="H113" s="205"/>
      <c r="I113" s="198"/>
      <c r="J113" s="198"/>
      <c r="K113" s="198"/>
      <c r="L113" s="199"/>
      <c r="M113" s="199"/>
      <c r="N113" s="199"/>
      <c r="O113" s="199"/>
      <c r="P113" s="199"/>
      <c r="Q113" s="200"/>
      <c r="R113" s="201"/>
      <c r="S113" s="202"/>
      <c r="T113" s="203"/>
      <c r="U113" s="204"/>
      <c r="V113" s="205"/>
      <c r="W113" s="205"/>
      <c r="X113" s="205"/>
      <c r="Y113" s="205"/>
      <c r="Z113" s="202"/>
      <c r="AA113" s="206"/>
      <c r="AB113" s="206"/>
      <c r="AC113" s="204"/>
      <c r="AD113" s="205"/>
      <c r="AE113" s="205"/>
      <c r="AF113" s="205"/>
      <c r="AG113" s="205"/>
      <c r="AH113" s="205"/>
      <c r="AI113" s="205"/>
      <c r="AJ113" s="207"/>
      <c r="AK113" s="204"/>
      <c r="AL113" s="208"/>
      <c r="AM113" s="209"/>
      <c r="AN113" s="202"/>
      <c r="AO113" s="203"/>
      <c r="AP113" s="210"/>
      <c r="AQ113" s="204"/>
      <c r="AR113" s="211"/>
      <c r="AS113" s="211"/>
      <c r="AT113" s="212"/>
      <c r="AU113" s="213"/>
      <c r="AV113" s="195"/>
      <c r="AW113" s="195"/>
      <c r="AX113" s="195"/>
      <c r="AY113" s="195"/>
      <c r="AZ113" s="195"/>
      <c r="BA113" s="214"/>
      <c r="BB113" s="215"/>
      <c r="BC113" s="216"/>
      <c r="BD113" s="208"/>
      <c r="BE113" s="217"/>
      <c r="BF113" s="218"/>
      <c r="BG113" s="219"/>
      <c r="BH113" s="220"/>
      <c r="BI113" s="220"/>
      <c r="BJ113" s="220"/>
      <c r="BK113" s="209"/>
      <c r="BL113" s="218"/>
      <c r="BM113" s="364"/>
      <c r="BN113" s="364"/>
      <c r="BO113" s="364"/>
      <c r="BP113" s="365"/>
      <c r="BQ113" s="365"/>
      <c r="BR113" s="365"/>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row>
    <row r="114" spans="1:146" s="608" customFormat="1" x14ac:dyDescent="0.25">
      <c r="A114" s="488" t="s">
        <v>2058</v>
      </c>
      <c r="B114" s="521"/>
      <c r="C114" s="597"/>
      <c r="D114" s="607"/>
      <c r="E114" s="501"/>
      <c r="F114" s="501"/>
      <c r="G114" s="501"/>
      <c r="H114" s="501"/>
      <c r="I114" s="494"/>
      <c r="J114" s="494"/>
      <c r="K114" s="494"/>
      <c r="L114" s="495"/>
      <c r="M114" s="495"/>
      <c r="N114" s="495"/>
      <c r="O114" s="495"/>
      <c r="P114" s="495"/>
      <c r="Q114" s="496"/>
      <c r="R114" s="497"/>
      <c r="S114" s="498"/>
      <c r="T114" s="499"/>
      <c r="U114" s="500"/>
      <c r="V114" s="501"/>
      <c r="W114" s="501"/>
      <c r="X114" s="501"/>
      <c r="Y114" s="501"/>
      <c r="Z114" s="498"/>
      <c r="AA114" s="502"/>
      <c r="AB114" s="502"/>
      <c r="AC114" s="500"/>
      <c r="AD114" s="501"/>
      <c r="AE114" s="501"/>
      <c r="AF114" s="501"/>
      <c r="AG114" s="501"/>
      <c r="AH114" s="501"/>
      <c r="AI114" s="501"/>
      <c r="AJ114" s="503"/>
      <c r="AK114" s="500"/>
      <c r="AL114" s="504"/>
      <c r="AM114" s="505"/>
      <c r="AN114" s="498"/>
      <c r="AO114" s="499"/>
      <c r="AP114" s="506"/>
      <c r="AQ114" s="500"/>
      <c r="AR114" s="507"/>
      <c r="AS114" s="507"/>
      <c r="AT114" s="508"/>
      <c r="AU114" s="509"/>
      <c r="AV114" s="491"/>
      <c r="AW114" s="491"/>
      <c r="AX114" s="491"/>
      <c r="AY114" s="491"/>
      <c r="AZ114" s="491"/>
      <c r="BA114" s="510"/>
      <c r="BB114" s="511"/>
      <c r="BC114" s="512"/>
      <c r="BD114" s="504"/>
      <c r="BE114" s="513"/>
      <c r="BF114" s="514"/>
      <c r="BG114" s="515"/>
      <c r="BH114" s="516"/>
      <c r="BI114" s="516"/>
      <c r="BJ114" s="516"/>
      <c r="BK114" s="505"/>
      <c r="BL114" s="514"/>
      <c r="BM114" s="641"/>
      <c r="BN114" s="641"/>
      <c r="BO114" s="641"/>
      <c r="BP114" s="642"/>
      <c r="BQ114" s="642"/>
      <c r="BR114" s="642"/>
      <c r="CE114" s="487"/>
      <c r="CF114" s="487"/>
      <c r="CG114" s="487"/>
      <c r="CH114" s="487"/>
      <c r="CI114" s="487"/>
      <c r="CJ114" s="487"/>
      <c r="CK114" s="487"/>
      <c r="CL114" s="487"/>
      <c r="CM114" s="487"/>
      <c r="CN114" s="487"/>
      <c r="CO114" s="487"/>
      <c r="CP114" s="487"/>
      <c r="CQ114" s="487"/>
      <c r="CR114" s="487"/>
      <c r="CS114" s="487"/>
      <c r="CT114" s="487"/>
      <c r="CU114" s="487"/>
      <c r="CV114" s="487"/>
      <c r="CW114" s="487"/>
      <c r="CX114" s="487"/>
      <c r="CY114" s="487"/>
      <c r="CZ114" s="487"/>
      <c r="DA114" s="487"/>
      <c r="DB114" s="487"/>
      <c r="DC114" s="487"/>
      <c r="DD114" s="487"/>
      <c r="DE114" s="487"/>
      <c r="DF114" s="487"/>
      <c r="DG114" s="487"/>
      <c r="DH114" s="487"/>
      <c r="DI114" s="487"/>
      <c r="DJ114" s="487"/>
      <c r="DK114" s="487"/>
      <c r="DL114" s="487"/>
      <c r="DM114" s="487"/>
      <c r="DN114" s="487"/>
      <c r="DO114" s="487"/>
      <c r="DP114" s="487"/>
      <c r="DQ114" s="487"/>
      <c r="DR114" s="487"/>
      <c r="DS114" s="487"/>
      <c r="DT114" s="487"/>
      <c r="DU114" s="487"/>
      <c r="DV114" s="487"/>
      <c r="DW114" s="487"/>
      <c r="DX114" s="487"/>
      <c r="DY114" s="487"/>
      <c r="DZ114" s="487"/>
      <c r="EA114" s="487"/>
      <c r="EB114" s="487"/>
      <c r="EC114" s="487"/>
      <c r="ED114" s="487"/>
      <c r="EE114" s="487"/>
      <c r="EF114" s="487"/>
      <c r="EG114" s="487"/>
      <c r="EH114" s="487"/>
      <c r="EI114" s="487"/>
      <c r="EJ114" s="487"/>
      <c r="EK114" s="487"/>
      <c r="EL114" s="487"/>
      <c r="EM114" s="487"/>
      <c r="EN114" s="487"/>
      <c r="EO114" s="487"/>
      <c r="EP114" s="487"/>
    </row>
    <row r="115" spans="1:146" s="355" customFormat="1" x14ac:dyDescent="0.25">
      <c r="A115" s="192" t="s">
        <v>2059</v>
      </c>
      <c r="B115" s="225"/>
      <c r="C115" s="343"/>
      <c r="D115" s="354"/>
      <c r="E115" s="205"/>
      <c r="F115" s="205"/>
      <c r="G115" s="205"/>
      <c r="H115" s="205"/>
      <c r="I115" s="198"/>
      <c r="J115" s="198"/>
      <c r="K115" s="198"/>
      <c r="L115" s="199"/>
      <c r="M115" s="199"/>
      <c r="N115" s="199"/>
      <c r="O115" s="199"/>
      <c r="P115" s="199"/>
      <c r="Q115" s="200"/>
      <c r="R115" s="201"/>
      <c r="S115" s="202"/>
      <c r="T115" s="203"/>
      <c r="U115" s="204"/>
      <c r="V115" s="205"/>
      <c r="W115" s="205"/>
      <c r="X115" s="205"/>
      <c r="Y115" s="205"/>
      <c r="Z115" s="202"/>
      <c r="AA115" s="206"/>
      <c r="AB115" s="206"/>
      <c r="AC115" s="204"/>
      <c r="AD115" s="205"/>
      <c r="AE115" s="205"/>
      <c r="AF115" s="205"/>
      <c r="AG115" s="205"/>
      <c r="AH115" s="205"/>
      <c r="AI115" s="205"/>
      <c r="AJ115" s="207"/>
      <c r="AK115" s="204"/>
      <c r="AL115" s="208"/>
      <c r="AM115" s="209"/>
      <c r="AN115" s="202"/>
      <c r="AO115" s="203"/>
      <c r="AP115" s="210"/>
      <c r="AQ115" s="204"/>
      <c r="AR115" s="211"/>
      <c r="AS115" s="211"/>
      <c r="AT115" s="212"/>
      <c r="AU115" s="213"/>
      <c r="AV115" s="195"/>
      <c r="AW115" s="195"/>
      <c r="AX115" s="195"/>
      <c r="AY115" s="195"/>
      <c r="AZ115" s="195"/>
      <c r="BA115" s="214"/>
      <c r="BB115" s="215"/>
      <c r="BC115" s="216"/>
      <c r="BD115" s="208"/>
      <c r="BE115" s="217"/>
      <c r="BF115" s="218"/>
      <c r="BG115" s="219"/>
      <c r="BH115" s="220"/>
      <c r="BI115" s="220"/>
      <c r="BJ115" s="220"/>
      <c r="BK115" s="209"/>
      <c r="BL115" s="218"/>
      <c r="BM115" s="364"/>
      <c r="BN115" s="364"/>
      <c r="BO115" s="364"/>
      <c r="BP115" s="365"/>
      <c r="BQ115" s="365"/>
      <c r="BR115" s="365"/>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row>
    <row r="116" spans="1:146" s="608" customFormat="1" x14ac:dyDescent="0.25">
      <c r="A116" s="488" t="s">
        <v>2060</v>
      </c>
      <c r="B116" s="521"/>
      <c r="C116" s="597"/>
      <c r="D116" s="607"/>
      <c r="E116" s="501"/>
      <c r="F116" s="501"/>
      <c r="G116" s="501"/>
      <c r="H116" s="501"/>
      <c r="I116" s="494"/>
      <c r="J116" s="494"/>
      <c r="K116" s="494"/>
      <c r="L116" s="495"/>
      <c r="M116" s="495"/>
      <c r="N116" s="495"/>
      <c r="O116" s="495"/>
      <c r="P116" s="495"/>
      <c r="Q116" s="496"/>
      <c r="R116" s="497"/>
      <c r="S116" s="498"/>
      <c r="T116" s="499"/>
      <c r="U116" s="500"/>
      <c r="V116" s="501"/>
      <c r="W116" s="501"/>
      <c r="X116" s="501"/>
      <c r="Y116" s="501"/>
      <c r="Z116" s="498"/>
      <c r="AA116" s="502"/>
      <c r="AB116" s="502"/>
      <c r="AC116" s="500"/>
      <c r="AD116" s="501"/>
      <c r="AE116" s="501"/>
      <c r="AF116" s="501"/>
      <c r="AG116" s="501"/>
      <c r="AH116" s="501"/>
      <c r="AI116" s="501"/>
      <c r="AJ116" s="503"/>
      <c r="AK116" s="500"/>
      <c r="AL116" s="504"/>
      <c r="AM116" s="505"/>
      <c r="AN116" s="498"/>
      <c r="AO116" s="499"/>
      <c r="AP116" s="506"/>
      <c r="AQ116" s="500"/>
      <c r="AR116" s="507"/>
      <c r="AS116" s="507"/>
      <c r="AT116" s="508"/>
      <c r="AU116" s="509"/>
      <c r="AV116" s="491"/>
      <c r="AW116" s="491"/>
      <c r="AX116" s="491"/>
      <c r="AY116" s="491"/>
      <c r="AZ116" s="491"/>
      <c r="BA116" s="510"/>
      <c r="BB116" s="511"/>
      <c r="BC116" s="512"/>
      <c r="BD116" s="504"/>
      <c r="BE116" s="513"/>
      <c r="BF116" s="514"/>
      <c r="BG116" s="515"/>
      <c r="BH116" s="516"/>
      <c r="BI116" s="516"/>
      <c r="BJ116" s="516"/>
      <c r="BK116" s="505"/>
      <c r="BL116" s="514"/>
      <c r="BM116" s="641"/>
      <c r="BN116" s="641"/>
      <c r="BO116" s="641"/>
      <c r="BP116" s="642"/>
      <c r="BQ116" s="642"/>
      <c r="BR116" s="642"/>
      <c r="CE116" s="487"/>
      <c r="CF116" s="487"/>
      <c r="CG116" s="487"/>
      <c r="CH116" s="487"/>
      <c r="CI116" s="487"/>
      <c r="CJ116" s="487"/>
      <c r="CK116" s="487"/>
      <c r="CL116" s="487"/>
      <c r="CM116" s="487"/>
      <c r="CN116" s="487"/>
      <c r="CO116" s="487"/>
      <c r="CP116" s="487"/>
      <c r="CQ116" s="487"/>
      <c r="CR116" s="487"/>
      <c r="CS116" s="487"/>
      <c r="CT116" s="487"/>
      <c r="CU116" s="487"/>
      <c r="CV116" s="487"/>
      <c r="CW116" s="487"/>
      <c r="CX116" s="487"/>
      <c r="CY116" s="487"/>
      <c r="CZ116" s="487"/>
      <c r="DA116" s="487"/>
      <c r="DB116" s="487"/>
      <c r="DC116" s="487"/>
      <c r="DD116" s="487"/>
      <c r="DE116" s="487"/>
      <c r="DF116" s="487"/>
      <c r="DG116" s="487"/>
      <c r="DH116" s="487"/>
      <c r="DI116" s="487"/>
      <c r="DJ116" s="487"/>
      <c r="DK116" s="487"/>
      <c r="DL116" s="487"/>
      <c r="DM116" s="487"/>
      <c r="DN116" s="487"/>
      <c r="DO116" s="487"/>
      <c r="DP116" s="487"/>
      <c r="DQ116" s="487"/>
      <c r="DR116" s="487"/>
      <c r="DS116" s="487"/>
      <c r="DT116" s="487"/>
      <c r="DU116" s="487"/>
      <c r="DV116" s="487"/>
      <c r="DW116" s="487"/>
      <c r="DX116" s="487"/>
      <c r="DY116" s="487"/>
      <c r="DZ116" s="487"/>
      <c r="EA116" s="487"/>
      <c r="EB116" s="487"/>
      <c r="EC116" s="487"/>
      <c r="ED116" s="487"/>
      <c r="EE116" s="487"/>
      <c r="EF116" s="487"/>
      <c r="EG116" s="487"/>
      <c r="EH116" s="487"/>
      <c r="EI116" s="487"/>
      <c r="EJ116" s="487"/>
      <c r="EK116" s="487"/>
      <c r="EL116" s="487"/>
      <c r="EM116" s="487"/>
      <c r="EN116" s="487"/>
      <c r="EO116" s="487"/>
      <c r="EP116" s="487"/>
    </row>
    <row r="117" spans="1:146" s="355" customFormat="1" x14ac:dyDescent="0.25">
      <c r="A117" s="192" t="s">
        <v>2061</v>
      </c>
      <c r="B117" s="225"/>
      <c r="C117" s="343"/>
      <c r="D117" s="354"/>
      <c r="E117" s="205"/>
      <c r="F117" s="205"/>
      <c r="G117" s="205"/>
      <c r="H117" s="205"/>
      <c r="I117" s="198"/>
      <c r="J117" s="198"/>
      <c r="K117" s="198"/>
      <c r="L117" s="199"/>
      <c r="M117" s="199"/>
      <c r="N117" s="199"/>
      <c r="O117" s="199"/>
      <c r="P117" s="199"/>
      <c r="Q117" s="200"/>
      <c r="R117" s="201"/>
      <c r="S117" s="202"/>
      <c r="T117" s="203"/>
      <c r="U117" s="204"/>
      <c r="V117" s="205"/>
      <c r="W117" s="205"/>
      <c r="X117" s="205"/>
      <c r="Y117" s="205"/>
      <c r="Z117" s="202"/>
      <c r="AA117" s="206"/>
      <c r="AB117" s="206"/>
      <c r="AC117" s="204"/>
      <c r="AD117" s="205"/>
      <c r="AE117" s="205"/>
      <c r="AF117" s="205"/>
      <c r="AG117" s="205"/>
      <c r="AH117" s="205"/>
      <c r="AI117" s="205"/>
      <c r="AJ117" s="207"/>
      <c r="AK117" s="204"/>
      <c r="AL117" s="208"/>
      <c r="AM117" s="209"/>
      <c r="AN117" s="202"/>
      <c r="AO117" s="203"/>
      <c r="AP117" s="210"/>
      <c r="AQ117" s="204"/>
      <c r="AR117" s="211"/>
      <c r="AS117" s="211"/>
      <c r="AT117" s="212"/>
      <c r="AU117" s="213"/>
      <c r="AV117" s="195"/>
      <c r="AW117" s="195"/>
      <c r="AX117" s="195"/>
      <c r="AY117" s="195"/>
      <c r="AZ117" s="195"/>
      <c r="BA117" s="214"/>
      <c r="BB117" s="215"/>
      <c r="BC117" s="216"/>
      <c r="BD117" s="208"/>
      <c r="BE117" s="217"/>
      <c r="BF117" s="218"/>
      <c r="BG117" s="219"/>
      <c r="BH117" s="220"/>
      <c r="BI117" s="220"/>
      <c r="BJ117" s="220"/>
      <c r="BK117" s="209"/>
      <c r="BL117" s="218"/>
      <c r="BM117" s="364"/>
      <c r="BN117" s="364"/>
      <c r="BO117" s="364"/>
      <c r="BP117" s="365"/>
      <c r="BQ117" s="365"/>
      <c r="BR117" s="365"/>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row>
    <row r="118" spans="1:146" s="673" customFormat="1" ht="13.8" thickBot="1" x14ac:dyDescent="0.3">
      <c r="A118" s="643" t="s">
        <v>2056</v>
      </c>
      <c r="B118" s="644"/>
      <c r="C118" s="645"/>
      <c r="D118" s="647"/>
      <c r="E118" s="648"/>
      <c r="F118" s="648"/>
      <c r="G118" s="648"/>
      <c r="H118" s="648"/>
      <c r="I118" s="649"/>
      <c r="J118" s="649"/>
      <c r="K118" s="649"/>
      <c r="L118" s="650"/>
      <c r="M118" s="650"/>
      <c r="N118" s="650"/>
      <c r="O118" s="650"/>
      <c r="P118" s="650"/>
      <c r="Q118" s="651"/>
      <c r="R118" s="652"/>
      <c r="S118" s="653"/>
      <c r="T118" s="654"/>
      <c r="U118" s="655"/>
      <c r="V118" s="648"/>
      <c r="W118" s="648"/>
      <c r="X118" s="648"/>
      <c r="Y118" s="648"/>
      <c r="Z118" s="653"/>
      <c r="AA118" s="656"/>
      <c r="AB118" s="656"/>
      <c r="AC118" s="655"/>
      <c r="AD118" s="648"/>
      <c r="AE118" s="648"/>
      <c r="AF118" s="648"/>
      <c r="AG118" s="648"/>
      <c r="AH118" s="648"/>
      <c r="AI118" s="648"/>
      <c r="AJ118" s="657"/>
      <c r="AK118" s="655"/>
      <c r="AL118" s="658"/>
      <c r="AM118" s="659"/>
      <c r="AN118" s="653"/>
      <c r="AO118" s="654"/>
      <c r="AP118" s="660"/>
      <c r="AQ118" s="655"/>
      <c r="AR118" s="661"/>
      <c r="AS118" s="661"/>
      <c r="AT118" s="662"/>
      <c r="AU118" s="663"/>
      <c r="AV118" s="646"/>
      <c r="AW118" s="646"/>
      <c r="AX118" s="646"/>
      <c r="AY118" s="646"/>
      <c r="AZ118" s="646"/>
      <c r="BA118" s="664"/>
      <c r="BB118" s="665"/>
      <c r="BC118" s="666"/>
      <c r="BD118" s="658"/>
      <c r="BE118" s="667"/>
      <c r="BF118" s="668"/>
      <c r="BG118" s="669"/>
      <c r="BH118" s="670"/>
      <c r="BI118" s="670"/>
      <c r="BJ118" s="670"/>
      <c r="BK118" s="659"/>
      <c r="BL118" s="668"/>
      <c r="BM118" s="671"/>
      <c r="BN118" s="671"/>
      <c r="BO118" s="671"/>
      <c r="BP118" s="672"/>
      <c r="BQ118" s="672"/>
      <c r="BR118" s="672"/>
      <c r="CE118" s="487"/>
      <c r="CF118" s="487"/>
      <c r="CG118" s="487"/>
      <c r="CH118" s="487"/>
      <c r="CI118" s="487"/>
      <c r="CJ118" s="487"/>
      <c r="CK118" s="487"/>
      <c r="CL118" s="487"/>
      <c r="CM118" s="487"/>
      <c r="CN118" s="487"/>
      <c r="CO118" s="487"/>
      <c r="CP118" s="487"/>
      <c r="CQ118" s="487"/>
      <c r="CR118" s="487"/>
      <c r="CS118" s="487"/>
      <c r="CT118" s="487"/>
      <c r="CU118" s="487"/>
      <c r="CV118" s="487"/>
      <c r="CW118" s="487"/>
      <c r="CX118" s="487"/>
      <c r="CY118" s="487"/>
      <c r="CZ118" s="487"/>
      <c r="DA118" s="487"/>
      <c r="DB118" s="487"/>
      <c r="DC118" s="487"/>
      <c r="DD118" s="487"/>
      <c r="DE118" s="487"/>
      <c r="DF118" s="487"/>
      <c r="DG118" s="487"/>
      <c r="DH118" s="487"/>
      <c r="DI118" s="487"/>
      <c r="DJ118" s="487"/>
      <c r="DK118" s="487"/>
      <c r="DL118" s="487"/>
      <c r="DM118" s="487"/>
      <c r="DN118" s="487"/>
      <c r="DO118" s="487"/>
      <c r="DP118" s="487"/>
      <c r="DQ118" s="487"/>
      <c r="DR118" s="487"/>
      <c r="DS118" s="487"/>
      <c r="DT118" s="487"/>
      <c r="DU118" s="487"/>
      <c r="DV118" s="487"/>
      <c r="DW118" s="487"/>
      <c r="DX118" s="487"/>
      <c r="DY118" s="487"/>
      <c r="DZ118" s="487"/>
      <c r="EA118" s="487"/>
      <c r="EB118" s="487"/>
      <c r="EC118" s="487"/>
      <c r="ED118" s="487"/>
      <c r="EE118" s="487"/>
      <c r="EF118" s="487"/>
      <c r="EG118" s="487"/>
      <c r="EH118" s="487"/>
      <c r="EI118" s="487"/>
      <c r="EJ118" s="487"/>
      <c r="EK118" s="487"/>
      <c r="EL118" s="487"/>
      <c r="EM118" s="487"/>
      <c r="EN118" s="487"/>
      <c r="EO118" s="487"/>
      <c r="EP118" s="487"/>
    </row>
    <row r="119" spans="1:146" ht="13.8" thickBot="1" x14ac:dyDescent="0.3">
      <c r="A119" s="133"/>
      <c r="B119" s="264"/>
      <c r="C119" s="108" t="s">
        <v>325</v>
      </c>
      <c r="D119" s="265"/>
      <c r="E119" s="143"/>
      <c r="F119" s="143"/>
      <c r="G119" s="143"/>
      <c r="H119" s="143"/>
      <c r="I119" s="266"/>
      <c r="J119" s="266"/>
      <c r="K119" s="266"/>
      <c r="L119" s="136"/>
      <c r="M119" s="136"/>
      <c r="N119" s="136"/>
      <c r="O119" s="136"/>
      <c r="P119" s="136"/>
      <c r="Q119" s="138"/>
      <c r="R119" s="139"/>
      <c r="S119" s="140"/>
      <c r="T119" s="141"/>
      <c r="U119" s="142"/>
      <c r="V119" s="143"/>
      <c r="W119" s="143"/>
      <c r="X119" s="143"/>
      <c r="Y119" s="143"/>
      <c r="Z119" s="140"/>
      <c r="AA119" s="144"/>
      <c r="AB119" s="144"/>
      <c r="AC119" s="142"/>
      <c r="AD119" s="143"/>
      <c r="AE119" s="143"/>
      <c r="AF119" s="143"/>
      <c r="AG119" s="143"/>
      <c r="AH119" s="143"/>
      <c r="AI119" s="143"/>
      <c r="AJ119" s="145"/>
      <c r="AK119" s="142"/>
      <c r="AL119" s="146"/>
      <c r="AM119" s="147"/>
      <c r="AN119" s="140"/>
      <c r="AO119" s="141"/>
      <c r="AP119" s="341"/>
      <c r="AQ119" s="142"/>
      <c r="AR119" s="151"/>
      <c r="AS119" s="151"/>
      <c r="AT119" s="152"/>
      <c r="AU119" s="153"/>
      <c r="AV119" s="154"/>
      <c r="AW119" s="154"/>
      <c r="AX119" s="154"/>
      <c r="AY119" s="154"/>
      <c r="AZ119" s="154"/>
      <c r="BA119" s="155"/>
      <c r="BB119" s="268"/>
      <c r="BC119" s="156"/>
      <c r="BD119" s="146"/>
      <c r="BE119" s="157"/>
      <c r="BF119" s="158"/>
      <c r="BG119" s="159"/>
      <c r="BH119" s="160"/>
      <c r="BI119" s="160"/>
      <c r="BJ119" s="160"/>
      <c r="BK119" s="147"/>
      <c r="BL119" s="158"/>
      <c r="BM119" s="11"/>
      <c r="BN119" s="11"/>
      <c r="BO119" s="11"/>
      <c r="BP119" s="11"/>
      <c r="BQ119" s="11"/>
      <c r="BR119" s="11"/>
    </row>
    <row r="120" spans="1:146" s="487" customFormat="1" x14ac:dyDescent="0.25">
      <c r="A120" s="609" t="s">
        <v>318</v>
      </c>
      <c r="B120" s="610"/>
      <c r="C120" s="611" t="s">
        <v>278</v>
      </c>
      <c r="D120" s="613"/>
      <c r="E120" s="614"/>
      <c r="F120" s="614"/>
      <c r="G120" s="614"/>
      <c r="H120" s="614"/>
      <c r="I120" s="615"/>
      <c r="J120" s="615"/>
      <c r="K120" s="615" t="s">
        <v>634</v>
      </c>
      <c r="L120" s="616">
        <f>'Wastewater Short School'!E36</f>
        <v>4.4000000000000012</v>
      </c>
      <c r="M120" s="616">
        <f>'Wastewater Short School'!F36</f>
        <v>1.75</v>
      </c>
      <c r="N120" s="616">
        <f>'Wastewater Short School'!G36</f>
        <v>4.4000000000000012</v>
      </c>
      <c r="O120" s="616">
        <f>'Wastewater Short School'!H36</f>
        <v>4.4000000000000012</v>
      </c>
      <c r="P120" s="616">
        <f>'Wastewater Short School'!I36</f>
        <v>1.0500000000000003</v>
      </c>
      <c r="Q120" s="674">
        <f>'Wastewater Short School'!J36</f>
        <v>1.5000000000000002</v>
      </c>
      <c r="R120" s="675"/>
      <c r="S120" s="619"/>
      <c r="T120" s="620"/>
      <c r="U120" s="621"/>
      <c r="V120" s="614"/>
      <c r="W120" s="614"/>
      <c r="X120" s="614"/>
      <c r="Y120" s="614"/>
      <c r="Z120" s="619"/>
      <c r="AA120" s="622"/>
      <c r="AB120" s="622"/>
      <c r="AC120" s="621"/>
      <c r="AD120" s="614"/>
      <c r="AE120" s="614"/>
      <c r="AF120" s="614"/>
      <c r="AG120" s="614"/>
      <c r="AH120" s="614"/>
      <c r="AI120" s="614"/>
      <c r="AJ120" s="623"/>
      <c r="AK120" s="621"/>
      <c r="AL120" s="624"/>
      <c r="AM120" s="625"/>
      <c r="AN120" s="619"/>
      <c r="AO120" s="620"/>
      <c r="AP120" s="626"/>
      <c r="AQ120" s="621"/>
      <c r="AR120" s="627"/>
      <c r="AS120" s="627"/>
      <c r="AT120" s="676"/>
      <c r="AU120" s="629"/>
      <c r="AV120" s="612"/>
      <c r="AW120" s="612"/>
      <c r="AX120" s="612"/>
      <c r="AY120" s="612"/>
      <c r="AZ120" s="612"/>
      <c r="BA120" s="630"/>
      <c r="BB120" s="631"/>
      <c r="BC120" s="632"/>
      <c r="BD120" s="624"/>
      <c r="BE120" s="633"/>
      <c r="BF120" s="634"/>
      <c r="BG120" s="635"/>
      <c r="BH120" s="633"/>
      <c r="BI120" s="636"/>
      <c r="BJ120" s="636"/>
      <c r="BK120" s="625"/>
      <c r="BL120" s="634"/>
      <c r="BM120" s="542"/>
      <c r="BN120" s="542"/>
      <c r="BO120" s="542"/>
      <c r="BP120" s="542"/>
      <c r="BQ120" s="542"/>
      <c r="BR120" s="542"/>
    </row>
    <row r="121" spans="1:146" x14ac:dyDescent="0.25">
      <c r="A121" s="164"/>
      <c r="B121" s="14"/>
      <c r="C121" s="342" t="s">
        <v>343</v>
      </c>
      <c r="D121" s="353"/>
      <c r="E121" s="174"/>
      <c r="F121" s="174"/>
      <c r="G121" s="174"/>
      <c r="H121" s="174"/>
      <c r="I121" s="168"/>
      <c r="J121" s="168" t="s">
        <v>1181</v>
      </c>
      <c r="K121" s="168" t="s">
        <v>643</v>
      </c>
      <c r="L121" s="169">
        <v>0</v>
      </c>
      <c r="M121" s="169">
        <v>0</v>
      </c>
      <c r="N121" s="169">
        <v>0</v>
      </c>
      <c r="O121" s="169">
        <v>0</v>
      </c>
      <c r="P121" s="169">
        <v>0</v>
      </c>
      <c r="Q121" s="391">
        <v>0</v>
      </c>
      <c r="R121" s="392"/>
      <c r="S121" s="171"/>
      <c r="T121" s="172"/>
      <c r="U121" s="173"/>
      <c r="V121" s="174"/>
      <c r="W121" s="174"/>
      <c r="X121" s="174"/>
      <c r="Y121" s="174"/>
      <c r="Z121" s="171"/>
      <c r="AA121" s="176"/>
      <c r="AB121" s="176"/>
      <c r="AC121" s="173"/>
      <c r="AD121" s="174"/>
      <c r="AE121" s="174"/>
      <c r="AF121" s="174"/>
      <c r="AG121" s="174"/>
      <c r="AH121" s="174"/>
      <c r="AI121" s="174"/>
      <c r="AJ121" s="177"/>
      <c r="AK121" s="173"/>
      <c r="AL121" s="178"/>
      <c r="AM121" s="179"/>
      <c r="AN121" s="171"/>
      <c r="AO121" s="172"/>
      <c r="AP121" s="180"/>
      <c r="AQ121" s="173"/>
      <c r="AR121" s="181"/>
      <c r="AS121" s="181"/>
      <c r="AT121" s="393"/>
      <c r="AU121" s="183"/>
      <c r="AV121" s="166"/>
      <c r="AW121" s="166"/>
      <c r="AX121" s="166"/>
      <c r="AY121" s="166"/>
      <c r="AZ121" s="166"/>
      <c r="BA121" s="229"/>
      <c r="BB121" s="184"/>
      <c r="BC121" s="185"/>
      <c r="BD121" s="178"/>
      <c r="BE121" s="186"/>
      <c r="BF121" s="187"/>
      <c r="BG121" s="219"/>
      <c r="BH121" s="217"/>
      <c r="BI121" s="220"/>
      <c r="BJ121" s="220"/>
      <c r="BK121" s="209"/>
      <c r="BL121" s="218"/>
    </row>
    <row r="122" spans="1:146" s="487" customFormat="1" x14ac:dyDescent="0.25">
      <c r="A122" s="488" t="s">
        <v>318</v>
      </c>
      <c r="B122" s="521"/>
      <c r="C122" s="597" t="s">
        <v>287</v>
      </c>
      <c r="D122" s="607"/>
      <c r="E122" s="501"/>
      <c r="F122" s="501"/>
      <c r="G122" s="501"/>
      <c r="H122" s="501"/>
      <c r="I122" s="494"/>
      <c r="J122" s="494"/>
      <c r="K122" s="494" t="s">
        <v>633</v>
      </c>
      <c r="L122" s="495">
        <f>'Water Short School'!F35</f>
        <v>3.8000000000000007</v>
      </c>
      <c r="M122" s="495">
        <f>'Water Short School'!G35</f>
        <v>3.4500000000000006</v>
      </c>
      <c r="N122" s="495">
        <f>'Water Short School'!H35</f>
        <v>2.4000000000000008</v>
      </c>
      <c r="O122" s="495">
        <f>'Water Short School'!I35</f>
        <v>2.5000000000000009</v>
      </c>
      <c r="P122" s="495">
        <f>'Water Short School'!J35</f>
        <v>3.4500000000000006</v>
      </c>
      <c r="Q122" s="677">
        <f>'Water Short School'!K35</f>
        <v>1.6000000000000003</v>
      </c>
      <c r="R122" s="678"/>
      <c r="S122" s="498"/>
      <c r="T122" s="499"/>
      <c r="U122" s="500"/>
      <c r="V122" s="501"/>
      <c r="W122" s="501"/>
      <c r="X122" s="501"/>
      <c r="Y122" s="501"/>
      <c r="Z122" s="498"/>
      <c r="AA122" s="502"/>
      <c r="AB122" s="502"/>
      <c r="AC122" s="500"/>
      <c r="AD122" s="501"/>
      <c r="AE122" s="501"/>
      <c r="AF122" s="501"/>
      <c r="AG122" s="501"/>
      <c r="AH122" s="501"/>
      <c r="AI122" s="501"/>
      <c r="AJ122" s="503"/>
      <c r="AK122" s="500"/>
      <c r="AL122" s="504"/>
      <c r="AM122" s="505"/>
      <c r="AN122" s="498"/>
      <c r="AO122" s="499"/>
      <c r="AP122" s="506"/>
      <c r="AQ122" s="500"/>
      <c r="AR122" s="507"/>
      <c r="AS122" s="507"/>
      <c r="AT122" s="679"/>
      <c r="AU122" s="509"/>
      <c r="AV122" s="491"/>
      <c r="AW122" s="491"/>
      <c r="AX122" s="491"/>
      <c r="AY122" s="491"/>
      <c r="AZ122" s="491"/>
      <c r="BA122" s="510"/>
      <c r="BB122" s="511"/>
      <c r="BC122" s="512"/>
      <c r="BD122" s="504"/>
      <c r="BE122" s="513"/>
      <c r="BF122" s="514"/>
      <c r="BG122" s="515"/>
      <c r="BH122" s="513"/>
      <c r="BI122" s="516"/>
      <c r="BJ122" s="516"/>
      <c r="BK122" s="505"/>
      <c r="BL122" s="514"/>
      <c r="BM122" s="542"/>
      <c r="BN122" s="542"/>
      <c r="BO122" s="542"/>
      <c r="BP122" s="542"/>
      <c r="BQ122" s="542"/>
      <c r="BR122" s="542"/>
    </row>
    <row r="123" spans="1:146" s="398" customFormat="1" ht="13.8" thickBot="1" x14ac:dyDescent="0.3">
      <c r="A123" s="366"/>
      <c r="B123" s="367"/>
      <c r="C123" s="368" t="s">
        <v>344</v>
      </c>
      <c r="D123" s="370"/>
      <c r="E123" s="371"/>
      <c r="F123" s="371"/>
      <c r="G123" s="371"/>
      <c r="H123" s="371"/>
      <c r="I123" s="372"/>
      <c r="J123" s="372" t="s">
        <v>1180</v>
      </c>
      <c r="K123" s="372" t="s">
        <v>644</v>
      </c>
      <c r="L123" s="373">
        <v>0</v>
      </c>
      <c r="M123" s="373">
        <v>0</v>
      </c>
      <c r="N123" s="373">
        <v>0</v>
      </c>
      <c r="O123" s="373">
        <v>0</v>
      </c>
      <c r="P123" s="373">
        <v>0</v>
      </c>
      <c r="Q123" s="394">
        <v>0</v>
      </c>
      <c r="R123" s="395"/>
      <c r="S123" s="374"/>
      <c r="T123" s="375"/>
      <c r="U123" s="376"/>
      <c r="V123" s="371"/>
      <c r="W123" s="371"/>
      <c r="X123" s="371"/>
      <c r="Y123" s="371"/>
      <c r="Z123" s="374"/>
      <c r="AA123" s="377"/>
      <c r="AB123" s="377"/>
      <c r="AC123" s="376"/>
      <c r="AD123" s="371"/>
      <c r="AE123" s="371"/>
      <c r="AF123" s="371"/>
      <c r="AG123" s="371"/>
      <c r="AH123" s="371"/>
      <c r="AI123" s="371"/>
      <c r="AJ123" s="378"/>
      <c r="AK123" s="376"/>
      <c r="AL123" s="379"/>
      <c r="AM123" s="380"/>
      <c r="AN123" s="374"/>
      <c r="AO123" s="375"/>
      <c r="AP123" s="381"/>
      <c r="AQ123" s="376"/>
      <c r="AR123" s="382"/>
      <c r="AS123" s="382"/>
      <c r="AT123" s="396"/>
      <c r="AU123" s="383"/>
      <c r="AV123" s="369"/>
      <c r="AW123" s="369"/>
      <c r="AX123" s="369"/>
      <c r="AY123" s="369"/>
      <c r="AZ123" s="369"/>
      <c r="BA123" s="384"/>
      <c r="BB123" s="385"/>
      <c r="BC123" s="386"/>
      <c r="BD123" s="379"/>
      <c r="BE123" s="387"/>
      <c r="BF123" s="388"/>
      <c r="BG123" s="389"/>
      <c r="BH123" s="387"/>
      <c r="BI123" s="390"/>
      <c r="BJ123" s="390"/>
      <c r="BK123" s="380"/>
      <c r="BL123" s="388"/>
      <c r="BM123" s="397"/>
      <c r="BN123" s="397"/>
      <c r="BO123" s="397"/>
      <c r="BP123" s="397"/>
      <c r="BQ123" s="397"/>
      <c r="BR123" s="397"/>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row>
    <row r="124" spans="1:146" x14ac:dyDescent="0.25">
      <c r="AQ124" s="250"/>
      <c r="AT124" s="400"/>
    </row>
    <row r="125" spans="1:146" x14ac:dyDescent="0.25">
      <c r="A125" s="405" t="s">
        <v>323</v>
      </c>
      <c r="B125" s="404"/>
      <c r="C125" s="55"/>
      <c r="I125" s="406"/>
      <c r="J125" s="406"/>
      <c r="K125" s="406"/>
      <c r="L125" s="406">
        <f t="shared" ref="L125:Q125" si="7">SUM(L5:L99)</f>
        <v>14.449999999999992</v>
      </c>
      <c r="M125" s="406">
        <f t="shared" si="7"/>
        <v>7.549999999999998</v>
      </c>
      <c r="N125" s="406">
        <f t="shared" si="7"/>
        <v>11.899999999999993</v>
      </c>
      <c r="O125" s="406">
        <f t="shared" si="7"/>
        <v>11.949999999999994</v>
      </c>
      <c r="P125" s="406">
        <f t="shared" si="7"/>
        <v>5.8500000000000005</v>
      </c>
      <c r="Q125" s="406">
        <f t="shared" si="7"/>
        <v>4.8</v>
      </c>
      <c r="R125" s="406"/>
      <c r="S125" s="406"/>
      <c r="T125" s="406">
        <f>SUM(T5:T99)</f>
        <v>90</v>
      </c>
      <c r="U125" s="406">
        <f>SUM(U5:U99)</f>
        <v>28.5</v>
      </c>
      <c r="V125" s="406"/>
      <c r="W125" s="406"/>
      <c r="X125" s="406"/>
      <c r="Y125" s="406"/>
      <c r="Z125" s="406"/>
      <c r="AA125" s="406"/>
      <c r="AB125" s="406"/>
      <c r="AC125" s="406">
        <f>SUM(AC5:AC99)</f>
        <v>88.75</v>
      </c>
      <c r="AD125" s="406"/>
      <c r="AE125" s="406"/>
      <c r="AF125" s="406"/>
      <c r="AG125" s="406"/>
      <c r="AH125" s="406"/>
      <c r="AI125" s="406"/>
      <c r="AJ125" s="406">
        <f>SUM(AJ5:AJ99)</f>
        <v>0</v>
      </c>
      <c r="AK125" s="406">
        <f>SUM(AK5:AK99)</f>
        <v>0</v>
      </c>
      <c r="AL125" s="407">
        <f>SUM(AL5:AL99)</f>
        <v>0</v>
      </c>
      <c r="AM125" s="408">
        <f>SUM(AM5:AM99)</f>
        <v>133</v>
      </c>
      <c r="AN125" s="406"/>
      <c r="AO125" s="406">
        <f>SUM(AO5:AO99)</f>
        <v>118.5</v>
      </c>
      <c r="AP125" s="406"/>
      <c r="AQ125" s="409">
        <f>SUM(AQ5:AQ99)</f>
        <v>0</v>
      </c>
      <c r="AR125" s="406"/>
      <c r="AS125" s="406"/>
      <c r="AT125" s="406">
        <f>SUM(AT5:AT99)</f>
        <v>148.5</v>
      </c>
      <c r="AU125" s="406"/>
      <c r="AV125" s="406"/>
      <c r="AW125" s="406"/>
      <c r="AX125" s="406"/>
      <c r="AY125" s="406"/>
      <c r="AZ125" s="406"/>
      <c r="BA125" s="406">
        <f>SUM(BA5:BA99)</f>
        <v>103.6</v>
      </c>
      <c r="BB125" s="406">
        <f>SUM(BB5:BB99)</f>
        <v>7.3999999999999995</v>
      </c>
      <c r="BC125" s="406"/>
      <c r="BD125" s="406"/>
      <c r="BE125" s="406">
        <f>SUM(BE5:BE99)</f>
        <v>14</v>
      </c>
      <c r="BF125" s="406">
        <f>SUM(BF5:BF99)</f>
        <v>51.5</v>
      </c>
      <c r="BG125" s="410"/>
      <c r="BH125" s="406"/>
      <c r="BI125" s="406">
        <f>SUM(BI5:BI99)</f>
        <v>139.5</v>
      </c>
      <c r="BJ125" s="406"/>
      <c r="BK125" s="406">
        <f>SUM(BK5:BK99)</f>
        <v>122</v>
      </c>
      <c r="BL125" s="406"/>
    </row>
    <row r="126" spans="1:146" x14ac:dyDescent="0.25">
      <c r="A126" s="405"/>
      <c r="B126" s="404"/>
      <c r="C126" s="55"/>
      <c r="I126" s="406"/>
      <c r="J126" s="406"/>
      <c r="K126" s="406"/>
      <c r="L126" s="406"/>
      <c r="M126" s="406"/>
      <c r="N126" s="406"/>
      <c r="O126" s="406"/>
      <c r="P126" s="406"/>
      <c r="Q126" s="406"/>
      <c r="R126" s="406"/>
      <c r="S126" s="406"/>
      <c r="T126" s="406"/>
      <c r="U126" s="406"/>
      <c r="V126" s="406"/>
      <c r="W126" s="406"/>
      <c r="X126" s="406"/>
      <c r="Y126" s="406"/>
      <c r="Z126" s="406"/>
      <c r="AA126" s="406"/>
      <c r="AB126" s="406"/>
      <c r="AC126" s="406"/>
      <c r="AD126" s="406"/>
      <c r="AE126" s="406"/>
      <c r="AF126" s="406"/>
      <c r="AG126" s="406"/>
      <c r="AH126" s="406"/>
      <c r="AI126" s="406"/>
      <c r="AJ126" s="406"/>
      <c r="AK126" s="406"/>
      <c r="AL126" s="407"/>
      <c r="AM126" s="408"/>
      <c r="AN126" s="406"/>
      <c r="AO126" s="406"/>
      <c r="AP126" s="406"/>
      <c r="AQ126" s="409"/>
      <c r="AR126" s="406"/>
      <c r="AS126" s="406"/>
      <c r="AT126" s="406"/>
      <c r="AU126" s="406"/>
      <c r="AV126" s="406"/>
      <c r="AW126" s="406"/>
      <c r="AX126" s="406"/>
      <c r="AY126" s="406"/>
      <c r="AZ126" s="406"/>
      <c r="BA126" s="406"/>
      <c r="BB126" s="406"/>
      <c r="BC126" s="406"/>
      <c r="BD126" s="406"/>
      <c r="BE126" s="406"/>
      <c r="BF126" s="406"/>
      <c r="BG126" s="410"/>
      <c r="BH126" s="406"/>
      <c r="BI126" s="406"/>
      <c r="BJ126" s="406"/>
      <c r="BK126" s="406"/>
      <c r="BL126" s="406"/>
    </row>
    <row r="127" spans="1:146" x14ac:dyDescent="0.25">
      <c r="AQ127" s="250"/>
    </row>
  </sheetData>
  <mergeCells count="1">
    <mergeCell ref="BB4:BC4"/>
  </mergeCells>
  <phoneticPr fontId="1" type="noConversion"/>
  <pageMargins left="0.25" right="0.25" top="0.75" bottom="0.75" header="0.3" footer="0.3"/>
  <pageSetup scale="80" fitToHeight="0" orientation="landscape" horizontalDpi="300" verticalDpi="300" r:id="rId1"/>
  <headerFooter>
    <oddHeader>&amp;LIndigo Water Group Course List 2024</oddHeader>
    <oddFooter>&amp;LCourses may only be taken as often as desired. TUs or CEUs are only awarded the first time a course is completed in a calendar year.&amp;R&amp;D</oddFooter>
  </headerFooter>
  <rowBreaks count="1" manualBreakCount="1">
    <brk id="1" max="63" man="1"/>
  </rowBreaks>
  <colBreaks count="7" manualBreakCount="7">
    <brk id="25" max="122" man="1"/>
    <brk id="35" max="122" man="1"/>
    <brk id="39" max="122" man="1"/>
    <brk id="44" max="122" man="1"/>
    <brk id="47" max="122" man="1"/>
    <brk id="53" max="122" man="1"/>
    <brk id="5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F2F9-90DD-4723-9745-6EDC993AE5CD}">
  <sheetPr codeName="Sheet9"/>
  <dimension ref="A1:AM421"/>
  <sheetViews>
    <sheetView zoomScaleNormal="100" zoomScaleSheetLayoutView="100" workbookViewId="0"/>
  </sheetViews>
  <sheetFormatPr defaultRowHeight="14.4" x14ac:dyDescent="0.3"/>
  <cols>
    <col min="1" max="1" width="11.88671875" customWidth="1"/>
    <col min="2" max="2" width="53.44140625" customWidth="1"/>
    <col min="3" max="3" width="12.5546875" customWidth="1"/>
    <col min="4" max="9" width="9.109375" style="1"/>
    <col min="10" max="29" width="9.109375" customWidth="1"/>
    <col min="31" max="31" width="16.33203125" customWidth="1"/>
    <col min="32" max="32" width="68.5546875" bestFit="1" customWidth="1"/>
    <col min="33" max="33" width="13.44140625" style="1" customWidth="1"/>
    <col min="34" max="39" width="9.109375" style="1" customWidth="1"/>
  </cols>
  <sheetData>
    <row r="1" spans="1:39" x14ac:dyDescent="0.3">
      <c r="A1" s="6" t="s">
        <v>2103</v>
      </c>
      <c r="I1" s="63">
        <f>D10*10*20*0.9</f>
        <v>99</v>
      </c>
      <c r="AE1" s="76" t="s">
        <v>1898</v>
      </c>
      <c r="AF1" s="77" t="s">
        <v>279</v>
      </c>
      <c r="AG1" s="78" t="s">
        <v>1899</v>
      </c>
      <c r="AH1" s="78" t="s">
        <v>1187</v>
      </c>
      <c r="AI1" s="78" t="s">
        <v>22</v>
      </c>
      <c r="AJ1" s="78" t="s">
        <v>23</v>
      </c>
      <c r="AK1" s="78" t="s">
        <v>26</v>
      </c>
      <c r="AL1" s="78" t="s">
        <v>25</v>
      </c>
      <c r="AM1" s="79" t="s">
        <v>24</v>
      </c>
    </row>
    <row r="2" spans="1:39" x14ac:dyDescent="0.3">
      <c r="A2" t="s">
        <v>1898</v>
      </c>
      <c r="B2" t="s">
        <v>279</v>
      </c>
      <c r="C2" t="s">
        <v>1900</v>
      </c>
      <c r="D2" s="1" t="s">
        <v>1187</v>
      </c>
      <c r="E2" s="1" t="s">
        <v>22</v>
      </c>
      <c r="F2" s="1" t="s">
        <v>23</v>
      </c>
      <c r="G2" s="1" t="s">
        <v>26</v>
      </c>
      <c r="H2" s="1" t="s">
        <v>25</v>
      </c>
      <c r="I2" s="1" t="s">
        <v>24</v>
      </c>
      <c r="AE2" s="65" t="s">
        <v>53</v>
      </c>
      <c r="AF2" s="66" t="s">
        <v>0</v>
      </c>
      <c r="AG2" s="71" t="str">
        <f>'2025NewCourses'!H16</f>
        <v>25-06046-002</v>
      </c>
      <c r="AH2" s="71">
        <f>'2025NewCourses'!L16</f>
        <v>0.2</v>
      </c>
      <c r="AI2" s="71">
        <f>'2025NewCourses'!M16</f>
        <v>0.2</v>
      </c>
      <c r="AJ2" s="71">
        <f>'2025NewCourses'!N16</f>
        <v>0.2</v>
      </c>
      <c r="AK2" s="71">
        <f>'2025NewCourses'!O16</f>
        <v>0.2</v>
      </c>
      <c r="AL2" s="71">
        <f>'2025NewCourses'!P16</f>
        <v>0.2</v>
      </c>
      <c r="AM2" s="72">
        <f>'2025NewCourses'!Q16</f>
        <v>0.2</v>
      </c>
    </row>
    <row r="3" spans="1:39" x14ac:dyDescent="0.3">
      <c r="A3" s="62" t="s">
        <v>174</v>
      </c>
      <c r="B3" t="str">
        <f t="shared" ref="B3:I9" si="0">LOOKUP($A3,$AE:$AE,AF:AF)</f>
        <v>Math Strategies for Success</v>
      </c>
      <c r="C3" t="str">
        <f t="shared" si="0"/>
        <v>25-05983-002</v>
      </c>
      <c r="D3" s="1">
        <f t="shared" si="0"/>
        <v>0.1</v>
      </c>
      <c r="E3" s="1">
        <f t="shared" si="0"/>
        <v>0.1</v>
      </c>
      <c r="F3" s="1">
        <f t="shared" si="0"/>
        <v>0.1</v>
      </c>
      <c r="G3" s="1">
        <f t="shared" si="0"/>
        <v>0.1</v>
      </c>
      <c r="H3" s="1">
        <f t="shared" si="0"/>
        <v>0.1</v>
      </c>
      <c r="I3" s="1">
        <f t="shared" si="0"/>
        <v>0.1</v>
      </c>
      <c r="AE3" s="67" t="s">
        <v>54</v>
      </c>
      <c r="AF3" s="68" t="s">
        <v>38</v>
      </c>
      <c r="AG3" s="71" t="str">
        <f>'2025NewCourses'!H17</f>
        <v>25-05990-001</v>
      </c>
      <c r="AH3" s="71">
        <f>'2025NewCourses'!L17</f>
        <v>0.15</v>
      </c>
      <c r="AI3" s="71">
        <f>'2025NewCourses'!M17</f>
        <v>0.15</v>
      </c>
      <c r="AJ3" s="71">
        <f>'2025NewCourses'!N17</f>
        <v>0.15</v>
      </c>
      <c r="AK3" s="71">
        <f>'2025NewCourses'!O17</f>
        <v>0.15</v>
      </c>
      <c r="AL3" s="71">
        <f>'2025NewCourses'!P17</f>
        <v>0.15</v>
      </c>
      <c r="AM3" s="72">
        <f>'2025NewCourses'!Q17</f>
        <v>0.15</v>
      </c>
    </row>
    <row r="4" spans="1:39" x14ac:dyDescent="0.3">
      <c r="A4" s="62" t="s">
        <v>51</v>
      </c>
      <c r="B4" t="str">
        <f t="shared" si="0"/>
        <v>Unit Conversions</v>
      </c>
      <c r="C4" t="str">
        <f t="shared" si="0"/>
        <v>25-05984-002</v>
      </c>
      <c r="D4" s="1">
        <f t="shared" si="0"/>
        <v>0.05</v>
      </c>
      <c r="E4" s="1">
        <f t="shared" si="0"/>
        <v>0.05</v>
      </c>
      <c r="F4" s="1">
        <f t="shared" si="0"/>
        <v>0.05</v>
      </c>
      <c r="G4" s="1">
        <f t="shared" si="0"/>
        <v>0.05</v>
      </c>
      <c r="H4" s="1">
        <f t="shared" si="0"/>
        <v>0.05</v>
      </c>
      <c r="I4" s="1">
        <f t="shared" si="0"/>
        <v>0.05</v>
      </c>
      <c r="AE4" s="65" t="s">
        <v>55</v>
      </c>
      <c r="AF4" s="66" t="s">
        <v>1866</v>
      </c>
      <c r="AG4" s="71" t="str">
        <f>'2025NewCourses'!H18</f>
        <v>25-05991-001</v>
      </c>
      <c r="AH4" s="71">
        <f>'2025NewCourses'!L18</f>
        <v>0.2</v>
      </c>
      <c r="AI4" s="71">
        <f>'2025NewCourses'!M18</f>
        <v>0.2</v>
      </c>
      <c r="AJ4" s="71">
        <f>'2025NewCourses'!N18</f>
        <v>0.2</v>
      </c>
      <c r="AK4" s="71">
        <f>'2025NewCourses'!O18</f>
        <v>0.2</v>
      </c>
      <c r="AL4" s="71">
        <f>'2025NewCourses'!P18</f>
        <v>0.2</v>
      </c>
      <c r="AM4" s="72">
        <f>'2025NewCourses'!Q18</f>
        <v>0.2</v>
      </c>
    </row>
    <row r="5" spans="1:39" x14ac:dyDescent="0.3">
      <c r="A5" s="62" t="s">
        <v>52</v>
      </c>
      <c r="B5" t="str">
        <f t="shared" si="0"/>
        <v>Geometry</v>
      </c>
      <c r="C5" t="str">
        <f t="shared" si="0"/>
        <v>25-05985-002</v>
      </c>
      <c r="D5" s="1">
        <f t="shared" si="0"/>
        <v>0.05</v>
      </c>
      <c r="E5" s="1">
        <f t="shared" si="0"/>
        <v>0.05</v>
      </c>
      <c r="F5" s="1">
        <f t="shared" si="0"/>
        <v>0.05</v>
      </c>
      <c r="G5" s="1">
        <f t="shared" si="0"/>
        <v>0.05</v>
      </c>
      <c r="H5" s="1">
        <f t="shared" si="0"/>
        <v>0.05</v>
      </c>
      <c r="I5" s="1">
        <f t="shared" si="0"/>
        <v>0.05</v>
      </c>
      <c r="AE5" s="65" t="s">
        <v>56</v>
      </c>
      <c r="AF5" s="66" t="s">
        <v>1410</v>
      </c>
      <c r="AG5" s="71" t="str">
        <f>'2025NewCourses'!H19</f>
        <v>25-09505-001</v>
      </c>
      <c r="AH5" s="71">
        <f>'2025NewCourses'!L19</f>
        <v>0.15</v>
      </c>
      <c r="AI5" s="71">
        <f>'2025NewCourses'!M19</f>
        <v>0.15</v>
      </c>
      <c r="AJ5" s="71">
        <f>'2025NewCourses'!N19</f>
        <v>0.15</v>
      </c>
      <c r="AK5" s="71">
        <f>'2025NewCourses'!O19</f>
        <v>0.15</v>
      </c>
      <c r="AL5" s="71">
        <f>'2025NewCourses'!P19</f>
        <v>0</v>
      </c>
      <c r="AM5" s="72">
        <f>'2025NewCourses'!Q19</f>
        <v>0</v>
      </c>
    </row>
    <row r="6" spans="1:39" x14ac:dyDescent="0.3">
      <c r="A6" s="62" t="s">
        <v>236</v>
      </c>
      <c r="B6" t="str">
        <f t="shared" si="0"/>
        <v>Chemical Dosing</v>
      </c>
      <c r="C6" t="str">
        <f t="shared" si="0"/>
        <v>25-05986-002</v>
      </c>
      <c r="D6" s="1">
        <f t="shared" si="0"/>
        <v>0.05</v>
      </c>
      <c r="E6" s="1">
        <f t="shared" si="0"/>
        <v>0.05</v>
      </c>
      <c r="F6" s="1">
        <f t="shared" si="0"/>
        <v>0.05</v>
      </c>
      <c r="G6" s="1">
        <f t="shared" si="0"/>
        <v>0.05</v>
      </c>
      <c r="H6" s="1">
        <f t="shared" si="0"/>
        <v>0.05</v>
      </c>
      <c r="I6" s="1">
        <f t="shared" si="0"/>
        <v>0.05</v>
      </c>
      <c r="AE6" s="67" t="s">
        <v>57</v>
      </c>
      <c r="AF6" s="66" t="s">
        <v>3</v>
      </c>
      <c r="AG6" s="71" t="str">
        <f>'2025NewCourses'!H20</f>
        <v>25-05992-001</v>
      </c>
      <c r="AH6" s="71">
        <f>'2025NewCourses'!L20</f>
        <v>0.25</v>
      </c>
      <c r="AI6" s="71">
        <f>'2025NewCourses'!M20</f>
        <v>0.25</v>
      </c>
      <c r="AJ6" s="71">
        <f>'2025NewCourses'!N20</f>
        <v>0.25</v>
      </c>
      <c r="AK6" s="71">
        <f>'2025NewCourses'!O20</f>
        <v>0.25</v>
      </c>
      <c r="AL6" s="71">
        <f>'2025NewCourses'!P20</f>
        <v>0.25</v>
      </c>
      <c r="AM6" s="72">
        <f>'2025NewCourses'!Q20</f>
        <v>0.25</v>
      </c>
    </row>
    <row r="7" spans="1:39" x14ac:dyDescent="0.3">
      <c r="A7" s="62" t="s">
        <v>232</v>
      </c>
      <c r="B7" t="str">
        <f t="shared" si="0"/>
        <v>Velocity and Hydraulic Detention Time</v>
      </c>
      <c r="C7" t="str">
        <f t="shared" si="0"/>
        <v>25-05987-001</v>
      </c>
      <c r="D7" s="1">
        <f t="shared" si="0"/>
        <v>0.1</v>
      </c>
      <c r="E7" s="1">
        <f t="shared" si="0"/>
        <v>0.1</v>
      </c>
      <c r="F7" s="1">
        <f t="shared" si="0"/>
        <v>0.1</v>
      </c>
      <c r="G7" s="1">
        <f t="shared" si="0"/>
        <v>0.1</v>
      </c>
      <c r="H7" s="1">
        <f t="shared" si="0"/>
        <v>0.1</v>
      </c>
      <c r="I7" s="1">
        <f t="shared" si="0"/>
        <v>0.1</v>
      </c>
      <c r="AE7" s="65" t="s">
        <v>516</v>
      </c>
      <c r="AF7" s="66" t="s">
        <v>151</v>
      </c>
      <c r="AG7" s="71" t="str">
        <f>'2025NewCourses'!H21</f>
        <v>25-05993-001</v>
      </c>
      <c r="AH7" s="71">
        <f>'2025NewCourses'!L21</f>
        <v>0.15</v>
      </c>
      <c r="AI7" s="71">
        <f>'2025NewCourses'!M21</f>
        <v>0.15</v>
      </c>
      <c r="AJ7" s="71">
        <f>'2025NewCourses'!N21</f>
        <v>0.15</v>
      </c>
      <c r="AK7" s="71">
        <f>'2025NewCourses'!O21</f>
        <v>0.15</v>
      </c>
      <c r="AL7" s="71">
        <f>'2025NewCourses'!P21</f>
        <v>0.15</v>
      </c>
      <c r="AM7" s="72">
        <f>'2025NewCourses'!Q21</f>
        <v>0.15</v>
      </c>
    </row>
    <row r="8" spans="1:39" x14ac:dyDescent="0.3">
      <c r="A8" s="62" t="s">
        <v>234</v>
      </c>
      <c r="B8" t="str">
        <f t="shared" si="0"/>
        <v>Geometry and Velocity</v>
      </c>
      <c r="C8" t="str">
        <f t="shared" si="0"/>
        <v>25-05988-001</v>
      </c>
      <c r="D8" s="1">
        <f t="shared" si="0"/>
        <v>0.15</v>
      </c>
      <c r="E8" s="1">
        <f t="shared" si="0"/>
        <v>0.15</v>
      </c>
      <c r="F8" s="1">
        <f t="shared" si="0"/>
        <v>0.15</v>
      </c>
      <c r="G8" s="1">
        <f t="shared" si="0"/>
        <v>0.15</v>
      </c>
      <c r="H8" s="1">
        <f t="shared" si="0"/>
        <v>0.15</v>
      </c>
      <c r="I8" s="1">
        <f t="shared" si="0"/>
        <v>0.15</v>
      </c>
      <c r="AE8" s="65" t="s">
        <v>108</v>
      </c>
      <c r="AF8" s="66" t="s">
        <v>48</v>
      </c>
      <c r="AG8" s="71" t="str">
        <f>'2025NewCourses'!H22</f>
        <v>25-05994-001</v>
      </c>
      <c r="AH8" s="71">
        <f>'2025NewCourses'!L22</f>
        <v>0.15</v>
      </c>
      <c r="AI8" s="71">
        <f>'2025NewCourses'!M22</f>
        <v>0.15</v>
      </c>
      <c r="AJ8" s="71">
        <f>'2025NewCourses'!N22</f>
        <v>0.15</v>
      </c>
      <c r="AK8" s="71">
        <f>'2025NewCourses'!O22</f>
        <v>0.15</v>
      </c>
      <c r="AL8" s="71">
        <f>'2025NewCourses'!P22</f>
        <v>0.15</v>
      </c>
      <c r="AM8" s="72">
        <f>'2025NewCourses'!Q22</f>
        <v>0.15</v>
      </c>
    </row>
    <row r="9" spans="1:39" x14ac:dyDescent="0.3">
      <c r="A9" s="62" t="s">
        <v>290</v>
      </c>
      <c r="B9" t="str">
        <f t="shared" si="0"/>
        <v>Using the Two-Normal and Three-Normal Equations</v>
      </c>
      <c r="C9" t="str">
        <f t="shared" si="0"/>
        <v>25-06672-001</v>
      </c>
      <c r="D9" s="1">
        <f t="shared" si="0"/>
        <v>0.05</v>
      </c>
      <c r="E9" s="1">
        <f t="shared" si="0"/>
        <v>0.05</v>
      </c>
      <c r="F9" s="1">
        <f t="shared" si="0"/>
        <v>0.05</v>
      </c>
      <c r="G9" s="1">
        <f t="shared" si="0"/>
        <v>0.05</v>
      </c>
      <c r="H9" s="1">
        <f t="shared" si="0"/>
        <v>0.05</v>
      </c>
      <c r="I9" s="1">
        <f t="shared" si="0"/>
        <v>0.05</v>
      </c>
      <c r="AE9" s="65" t="s">
        <v>109</v>
      </c>
      <c r="AF9" s="69" t="s">
        <v>105</v>
      </c>
      <c r="AG9" s="71" t="str">
        <f>'2025NewCourses'!H23</f>
        <v>25-05995-002</v>
      </c>
      <c r="AH9" s="71">
        <f>'2025NewCourses'!L23</f>
        <v>0.15</v>
      </c>
      <c r="AI9" s="71">
        <f>'2025NewCourses'!M23</f>
        <v>0.15</v>
      </c>
      <c r="AJ9" s="71">
        <f>'2025NewCourses'!N23</f>
        <v>0.15</v>
      </c>
      <c r="AK9" s="71">
        <f>'2025NewCourses'!O23</f>
        <v>0.15</v>
      </c>
      <c r="AL9" s="71">
        <f>'2025NewCourses'!P23</f>
        <v>0.15</v>
      </c>
      <c r="AM9" s="72">
        <f>'2025NewCourses'!Q23</f>
        <v>0.15</v>
      </c>
    </row>
    <row r="10" spans="1:39" x14ac:dyDescent="0.3">
      <c r="A10" t="s">
        <v>319</v>
      </c>
      <c r="D10" s="1">
        <f>SUM(Table3[Max])</f>
        <v>0.55000000000000004</v>
      </c>
      <c r="E10" s="1">
        <f>SUM(Table3[W])</f>
        <v>0.55000000000000004</v>
      </c>
      <c r="F10" s="1">
        <f>SUM(Table3[WW])</f>
        <v>0.55000000000000004</v>
      </c>
      <c r="G10" s="1">
        <f>SUM(Table3[I])</f>
        <v>0.55000000000000004</v>
      </c>
      <c r="H10" s="1">
        <f>SUM(Table3[D])</f>
        <v>0.55000000000000004</v>
      </c>
      <c r="I10" s="1">
        <f>SUM(Table3[C])</f>
        <v>0.55000000000000004</v>
      </c>
      <c r="AE10" s="65" t="s">
        <v>517</v>
      </c>
      <c r="AF10" s="69" t="s">
        <v>106</v>
      </c>
      <c r="AG10" s="71" t="str">
        <f>'2025NewCourses'!H24</f>
        <v>25-05996-001</v>
      </c>
      <c r="AH10" s="71">
        <f>'2025NewCourses'!L24</f>
        <v>0.15</v>
      </c>
      <c r="AI10" s="71">
        <f>'2025NewCourses'!M24</f>
        <v>0.15</v>
      </c>
      <c r="AJ10" s="71">
        <f>'2025NewCourses'!N24</f>
        <v>0</v>
      </c>
      <c r="AK10" s="71">
        <f>'2025NewCourses'!O24</f>
        <v>0</v>
      </c>
      <c r="AL10" s="71">
        <f>'2025NewCourses'!P24</f>
        <v>0.15</v>
      </c>
      <c r="AM10" s="72">
        <f>'2025NewCourses'!Q24</f>
        <v>0</v>
      </c>
    </row>
    <row r="11" spans="1:39" x14ac:dyDescent="0.3">
      <c r="AE11" s="65" t="s">
        <v>518</v>
      </c>
      <c r="AF11" s="66" t="s">
        <v>898</v>
      </c>
      <c r="AG11" s="71">
        <f>'2025NewCourses'!H25</f>
        <v>0</v>
      </c>
      <c r="AH11" s="71">
        <f>'2025NewCourses'!L25</f>
        <v>0</v>
      </c>
      <c r="AI11" s="71">
        <f>'2025NewCourses'!M25</f>
        <v>0</v>
      </c>
      <c r="AJ11" s="71">
        <f>'2025NewCourses'!N25</f>
        <v>0</v>
      </c>
      <c r="AK11" s="71">
        <f>'2025NewCourses'!O25</f>
        <v>0</v>
      </c>
      <c r="AL11" s="71">
        <f>'2025NewCourses'!P25</f>
        <v>0</v>
      </c>
      <c r="AM11" s="72">
        <f>'2025NewCourses'!Q25</f>
        <v>0</v>
      </c>
    </row>
    <row r="12" spans="1:39" x14ac:dyDescent="0.3">
      <c r="A12" s="6" t="s">
        <v>2104</v>
      </c>
      <c r="I12" s="63">
        <f>D17*10*20*0.9</f>
        <v>108.00000000000001</v>
      </c>
      <c r="AE12" s="65" t="s">
        <v>1052</v>
      </c>
      <c r="AF12" s="66" t="s">
        <v>1053</v>
      </c>
      <c r="AG12" s="71" t="str">
        <f>'2025NewCourses'!H26</f>
        <v>25-08959-001</v>
      </c>
      <c r="AH12" s="71">
        <f>'2025NewCourses'!L26</f>
        <v>0.05</v>
      </c>
      <c r="AI12" s="71">
        <f>'2025NewCourses'!M26</f>
        <v>0.05</v>
      </c>
      <c r="AJ12" s="71">
        <f>'2025NewCourses'!N26</f>
        <v>0.05</v>
      </c>
      <c r="AK12" s="71">
        <f>'2025NewCourses'!O26</f>
        <v>0.05</v>
      </c>
      <c r="AL12" s="71">
        <f>'2025NewCourses'!P26</f>
        <v>0.05</v>
      </c>
      <c r="AM12" s="72">
        <f>'2025NewCourses'!Q26</f>
        <v>0.05</v>
      </c>
    </row>
    <row r="13" spans="1:39" x14ac:dyDescent="0.3">
      <c r="A13" t="s">
        <v>1898</v>
      </c>
      <c r="B13" t="s">
        <v>279</v>
      </c>
      <c r="C13" t="s">
        <v>1900</v>
      </c>
      <c r="D13" s="1" t="s">
        <v>1187</v>
      </c>
      <c r="E13" s="1" t="s">
        <v>22</v>
      </c>
      <c r="F13" s="1" t="s">
        <v>23</v>
      </c>
      <c r="G13" s="1" t="s">
        <v>26</v>
      </c>
      <c r="H13" s="1" t="s">
        <v>25</v>
      </c>
      <c r="I13" s="1" t="s">
        <v>1905</v>
      </c>
      <c r="AE13" s="65" t="s">
        <v>58</v>
      </c>
      <c r="AF13" s="66" t="s">
        <v>14</v>
      </c>
      <c r="AG13" s="71" t="str">
        <f>'2025NewCourses'!H32</f>
        <v>25-06000-002</v>
      </c>
      <c r="AH13" s="71">
        <f>'2025NewCourses'!L32</f>
        <v>0.15</v>
      </c>
      <c r="AI13" s="71">
        <f>'2025NewCourses'!M32</f>
        <v>0</v>
      </c>
      <c r="AJ13" s="71">
        <f>'2025NewCourses'!N32</f>
        <v>0</v>
      </c>
      <c r="AK13" s="71">
        <f>'2025NewCourses'!O32</f>
        <v>0</v>
      </c>
      <c r="AL13" s="71">
        <f>'2025NewCourses'!P32</f>
        <v>0</v>
      </c>
      <c r="AM13" s="72">
        <f>'2025NewCourses'!Q32</f>
        <v>0.15</v>
      </c>
    </row>
    <row r="14" spans="1:39" x14ac:dyDescent="0.3">
      <c r="A14" s="62" t="s">
        <v>1654</v>
      </c>
      <c r="B14" t="str">
        <f t="shared" ref="B14:I16" si="1">LOOKUP($A14,$AE:$AE,AF:AF)</f>
        <v>Advanced Activated Sludge and Clarifier Math</v>
      </c>
      <c r="C14" t="str">
        <f t="shared" si="1"/>
        <v>25-10564-001</v>
      </c>
      <c r="D14" s="1">
        <f t="shared" si="1"/>
        <v>0.2</v>
      </c>
      <c r="E14" s="1">
        <f t="shared" si="1"/>
        <v>0</v>
      </c>
      <c r="F14" s="1">
        <f t="shared" si="1"/>
        <v>0.2</v>
      </c>
      <c r="G14" s="1">
        <f t="shared" si="1"/>
        <v>0.2</v>
      </c>
      <c r="H14" s="1">
        <f t="shared" si="1"/>
        <v>0</v>
      </c>
      <c r="I14" s="1">
        <f t="shared" si="1"/>
        <v>0</v>
      </c>
      <c r="AE14" s="65" t="s">
        <v>59</v>
      </c>
      <c r="AF14" s="66" t="s">
        <v>16</v>
      </c>
      <c r="AG14" s="71" t="str">
        <f>'2025NewCourses'!H33</f>
        <v>25-06001-002</v>
      </c>
      <c r="AH14" s="71">
        <f>'2025NewCourses'!L33</f>
        <v>0.25</v>
      </c>
      <c r="AI14" s="71">
        <f>'2025NewCourses'!M33</f>
        <v>0</v>
      </c>
      <c r="AJ14" s="71">
        <f>'2025NewCourses'!N33</f>
        <v>0</v>
      </c>
      <c r="AK14" s="71">
        <f>'2025NewCourses'!O33</f>
        <v>0</v>
      </c>
      <c r="AL14" s="71">
        <f>'2025NewCourses'!P33</f>
        <v>0</v>
      </c>
      <c r="AM14" s="72">
        <f>'2025NewCourses'!Q33</f>
        <v>0.25</v>
      </c>
    </row>
    <row r="15" spans="1:39" x14ac:dyDescent="0.3">
      <c r="A15" s="62" t="s">
        <v>1655</v>
      </c>
      <c r="B15" t="str">
        <f t="shared" si="1"/>
        <v>Advanced Anaerobic Digester and Solids Math</v>
      </c>
      <c r="C15" t="str">
        <f t="shared" si="1"/>
        <v>25-10565-001</v>
      </c>
      <c r="D15" s="1">
        <f t="shared" si="1"/>
        <v>0.2</v>
      </c>
      <c r="E15" s="1">
        <f t="shared" si="1"/>
        <v>0</v>
      </c>
      <c r="F15" s="1">
        <f t="shared" si="1"/>
        <v>0.2</v>
      </c>
      <c r="G15" s="1">
        <f t="shared" si="1"/>
        <v>0.2</v>
      </c>
      <c r="H15" s="1">
        <f t="shared" si="1"/>
        <v>0</v>
      </c>
      <c r="I15" s="1">
        <f t="shared" si="1"/>
        <v>0</v>
      </c>
      <c r="AE15" s="65" t="s">
        <v>60</v>
      </c>
      <c r="AF15" s="66" t="s">
        <v>17</v>
      </c>
      <c r="AG15" s="71" t="str">
        <f>'2025NewCourses'!H34</f>
        <v>25-06002-002</v>
      </c>
      <c r="AH15" s="71">
        <f>'2025NewCourses'!L34</f>
        <v>0.25</v>
      </c>
      <c r="AI15" s="71">
        <f>'2025NewCourses'!M34</f>
        <v>0</v>
      </c>
      <c r="AJ15" s="71">
        <f>'2025NewCourses'!N34</f>
        <v>0</v>
      </c>
      <c r="AK15" s="71">
        <f>'2025NewCourses'!O34</f>
        <v>0</v>
      </c>
      <c r="AL15" s="71">
        <f>'2025NewCourses'!P34</f>
        <v>0</v>
      </c>
      <c r="AM15" s="72">
        <f>'2025NewCourses'!Q34</f>
        <v>0.25</v>
      </c>
    </row>
    <row r="16" spans="1:39" x14ac:dyDescent="0.3">
      <c r="A16" s="62" t="s">
        <v>1656</v>
      </c>
      <c r="B16" t="str">
        <f t="shared" si="1"/>
        <v>Advanced Wastewater Math Grab Bag</v>
      </c>
      <c r="C16" t="str">
        <f t="shared" si="1"/>
        <v>25-10566-001</v>
      </c>
      <c r="D16" s="1">
        <f t="shared" si="1"/>
        <v>0.2</v>
      </c>
      <c r="E16" s="1">
        <f t="shared" si="1"/>
        <v>0</v>
      </c>
      <c r="F16" s="1">
        <f t="shared" si="1"/>
        <v>0.2</v>
      </c>
      <c r="G16" s="1">
        <f t="shared" si="1"/>
        <v>0.2</v>
      </c>
      <c r="H16" s="1">
        <f t="shared" si="1"/>
        <v>0</v>
      </c>
      <c r="I16" s="1">
        <f t="shared" si="1"/>
        <v>0</v>
      </c>
      <c r="AE16" s="65" t="s">
        <v>61</v>
      </c>
      <c r="AF16" s="66" t="s">
        <v>1</v>
      </c>
      <c r="AG16" s="71" t="str">
        <f>'2025NewCourses'!H35</f>
        <v>25-06003-001</v>
      </c>
      <c r="AH16" s="71">
        <f>'2025NewCourses'!L35</f>
        <v>0.2</v>
      </c>
      <c r="AI16" s="71">
        <f>'2025NewCourses'!M35</f>
        <v>0</v>
      </c>
      <c r="AJ16" s="71">
        <f>'2025NewCourses'!N35</f>
        <v>0.2</v>
      </c>
      <c r="AK16" s="71">
        <f>'2025NewCourses'!O35</f>
        <v>0.2</v>
      </c>
      <c r="AL16" s="71">
        <f>'2025NewCourses'!P35</f>
        <v>0</v>
      </c>
      <c r="AM16" s="72">
        <f>'2025NewCourses'!Q35</f>
        <v>0.2</v>
      </c>
    </row>
    <row r="17" spans="1:39" x14ac:dyDescent="0.3">
      <c r="A17" s="62" t="s">
        <v>319</v>
      </c>
      <c r="D17" s="1">
        <f>SUM(D14:D16)</f>
        <v>0.60000000000000009</v>
      </c>
      <c r="E17" s="1">
        <f t="shared" ref="E17:I17" si="2">SUM(E14:E16)</f>
        <v>0</v>
      </c>
      <c r="F17" s="1">
        <f t="shared" si="2"/>
        <v>0.60000000000000009</v>
      </c>
      <c r="G17" s="1">
        <f t="shared" si="2"/>
        <v>0.60000000000000009</v>
      </c>
      <c r="H17" s="1">
        <f t="shared" si="2"/>
        <v>0</v>
      </c>
      <c r="I17" s="1">
        <f t="shared" si="2"/>
        <v>0</v>
      </c>
      <c r="AE17" s="65" t="s">
        <v>62</v>
      </c>
      <c r="AF17" s="66" t="s">
        <v>13</v>
      </c>
      <c r="AG17" s="71" t="str">
        <f>'2025NewCourses'!H36</f>
        <v>25-06004-001</v>
      </c>
      <c r="AH17" s="71">
        <f>'2025NewCourses'!L36</f>
        <v>0.3</v>
      </c>
      <c r="AI17" s="71">
        <f>'2025NewCourses'!M36</f>
        <v>0.3</v>
      </c>
      <c r="AJ17" s="71">
        <f>'2025NewCourses'!N36</f>
        <v>0.3</v>
      </c>
      <c r="AK17" s="71">
        <f>'2025NewCourses'!O36</f>
        <v>0.3</v>
      </c>
      <c r="AL17" s="71">
        <f>'2025NewCourses'!P36</f>
        <v>0</v>
      </c>
      <c r="AM17" s="72">
        <f>'2025NewCourses'!Q36</f>
        <v>0</v>
      </c>
    </row>
    <row r="18" spans="1:39" x14ac:dyDescent="0.3">
      <c r="AE18" s="65" t="s">
        <v>169</v>
      </c>
      <c r="AF18" s="66" t="s">
        <v>167</v>
      </c>
      <c r="AG18" s="71" t="str">
        <f>'2025NewCourses'!H37</f>
        <v>25-06005-001</v>
      </c>
      <c r="AH18" s="71">
        <f>'2025NewCourses'!L37</f>
        <v>0.1</v>
      </c>
      <c r="AI18" s="71">
        <f>'2025NewCourses'!M37</f>
        <v>0</v>
      </c>
      <c r="AJ18" s="71">
        <f>'2025NewCourses'!N37</f>
        <v>0</v>
      </c>
      <c r="AK18" s="71">
        <f>'2025NewCourses'!O37</f>
        <v>0</v>
      </c>
      <c r="AL18" s="71">
        <f>'2025NewCourses'!P37</f>
        <v>0</v>
      </c>
      <c r="AM18" s="72">
        <f>'2025NewCourses'!Q37</f>
        <v>0.1</v>
      </c>
    </row>
    <row r="19" spans="1:39" x14ac:dyDescent="0.3">
      <c r="A19" s="6" t="s">
        <v>2105</v>
      </c>
      <c r="I19" s="63">
        <f>D26*10*20*0.9</f>
        <v>153</v>
      </c>
      <c r="AE19" s="65" t="s">
        <v>521</v>
      </c>
      <c r="AF19" s="66" t="s">
        <v>21</v>
      </c>
      <c r="AG19" s="71" t="str">
        <f>'2025NewCourses'!H88</f>
        <v>25-05997-001</v>
      </c>
      <c r="AH19" s="71">
        <f>'2025NewCourses'!L88</f>
        <v>0.25</v>
      </c>
      <c r="AI19" s="71">
        <f>'2025NewCourses'!M88</f>
        <v>0.25</v>
      </c>
      <c r="AJ19" s="71">
        <f>'2025NewCourses'!N88</f>
        <v>0.25</v>
      </c>
      <c r="AK19" s="71">
        <f>'2025NewCourses'!O88</f>
        <v>0.25</v>
      </c>
      <c r="AL19" s="71">
        <f>'2025NewCourses'!P88</f>
        <v>0.25</v>
      </c>
      <c r="AM19" s="72">
        <f>'2025NewCourses'!Q88</f>
        <v>0.25</v>
      </c>
    </row>
    <row r="20" spans="1:39" x14ac:dyDescent="0.3">
      <c r="A20" t="s">
        <v>1898</v>
      </c>
      <c r="B20" t="s">
        <v>279</v>
      </c>
      <c r="C20" t="s">
        <v>1900</v>
      </c>
      <c r="D20" s="1" t="s">
        <v>1187</v>
      </c>
      <c r="E20" s="1" t="s">
        <v>22</v>
      </c>
      <c r="F20" s="1" t="s">
        <v>23</v>
      </c>
      <c r="G20" s="1" t="s">
        <v>26</v>
      </c>
      <c r="H20" s="1" t="s">
        <v>25</v>
      </c>
      <c r="I20" s="1" t="s">
        <v>24</v>
      </c>
      <c r="AE20" s="65" t="s">
        <v>522</v>
      </c>
      <c r="AF20" s="66" t="s">
        <v>512</v>
      </c>
      <c r="AG20" s="71" t="str">
        <f>'2025NewCourses'!H89</f>
        <v>25-07704-001</v>
      </c>
      <c r="AH20" s="71">
        <f>'2025NewCourses'!L89</f>
        <v>0.2</v>
      </c>
      <c r="AI20" s="71">
        <f>'2025NewCourses'!M89</f>
        <v>0.2</v>
      </c>
      <c r="AJ20" s="71">
        <f>'2025NewCourses'!N89</f>
        <v>0.2</v>
      </c>
      <c r="AK20" s="71">
        <f>'2025NewCourses'!O89</f>
        <v>0.2</v>
      </c>
      <c r="AL20" s="71">
        <f>'2025NewCourses'!P89</f>
        <v>0.2</v>
      </c>
      <c r="AM20" s="72">
        <f>'2025NewCourses'!Q89</f>
        <v>0.05</v>
      </c>
    </row>
    <row r="21" spans="1:39" x14ac:dyDescent="0.3">
      <c r="A21" s="62" t="s">
        <v>54</v>
      </c>
      <c r="B21" t="str">
        <f t="shared" ref="B21:I25" si="3">LOOKUP($A21,$AE:$AE,AF:AF)</f>
        <v>Hydraulics Basics</v>
      </c>
      <c r="C21" t="str">
        <f t="shared" si="3"/>
        <v>25-05990-001</v>
      </c>
      <c r="D21" s="1">
        <f t="shared" si="3"/>
        <v>0.15</v>
      </c>
      <c r="E21" s="1">
        <f t="shared" si="3"/>
        <v>0.15</v>
      </c>
      <c r="F21" s="1">
        <f t="shared" si="3"/>
        <v>0.15</v>
      </c>
      <c r="G21" s="1">
        <f t="shared" si="3"/>
        <v>0.15</v>
      </c>
      <c r="H21" s="1">
        <f t="shared" si="3"/>
        <v>0.15</v>
      </c>
      <c r="I21" s="1">
        <f t="shared" si="3"/>
        <v>0.15</v>
      </c>
      <c r="AE21" s="65" t="s">
        <v>523</v>
      </c>
      <c r="AF21" s="66" t="s">
        <v>1326</v>
      </c>
      <c r="AG21" s="71" t="str">
        <f>'2025NewCourses'!H90</f>
        <v>25-07745-001</v>
      </c>
      <c r="AH21" s="71">
        <f>'2025NewCourses'!L90</f>
        <v>0.2</v>
      </c>
      <c r="AI21" s="71">
        <f>'2025NewCourses'!M90</f>
        <v>0.2</v>
      </c>
      <c r="AJ21" s="71">
        <f>'2025NewCourses'!N90</f>
        <v>0.2</v>
      </c>
      <c r="AK21" s="71">
        <f>'2025NewCourses'!O90</f>
        <v>0.2</v>
      </c>
      <c r="AL21" s="71">
        <f>'2025NewCourses'!P90</f>
        <v>0.2</v>
      </c>
      <c r="AM21" s="72">
        <f>'2025NewCourses'!Q90</f>
        <v>0</v>
      </c>
    </row>
    <row r="22" spans="1:39" x14ac:dyDescent="0.3">
      <c r="A22" s="62" t="s">
        <v>516</v>
      </c>
      <c r="B22" t="str">
        <f t="shared" si="3"/>
        <v>Maintenance</v>
      </c>
      <c r="C22" t="str">
        <f t="shared" si="3"/>
        <v>25-05993-001</v>
      </c>
      <c r="D22" s="1">
        <f t="shared" si="3"/>
        <v>0.15</v>
      </c>
      <c r="E22" s="1">
        <f t="shared" si="3"/>
        <v>0.15</v>
      </c>
      <c r="F22" s="1">
        <f t="shared" si="3"/>
        <v>0.15</v>
      </c>
      <c r="G22" s="1">
        <f t="shared" si="3"/>
        <v>0.15</v>
      </c>
      <c r="H22" s="1">
        <f t="shared" si="3"/>
        <v>0.15</v>
      </c>
      <c r="I22" s="1">
        <f t="shared" si="3"/>
        <v>0.15</v>
      </c>
      <c r="AE22" s="65" t="s">
        <v>524</v>
      </c>
      <c r="AF22" s="66" t="s">
        <v>514</v>
      </c>
      <c r="AG22" s="71" t="str">
        <f>'2025NewCourses'!H91</f>
        <v>25-06028-001</v>
      </c>
      <c r="AH22" s="71">
        <f>'2025NewCourses'!L91</f>
        <v>0.1</v>
      </c>
      <c r="AI22" s="71">
        <f>'2025NewCourses'!M91</f>
        <v>0.1</v>
      </c>
      <c r="AJ22" s="71">
        <f>'2025NewCourses'!N91</f>
        <v>0.1</v>
      </c>
      <c r="AK22" s="71">
        <f>'2025NewCourses'!O91</f>
        <v>0.1</v>
      </c>
      <c r="AL22" s="71">
        <f>'2025NewCourses'!P91</f>
        <v>0</v>
      </c>
      <c r="AM22" s="72">
        <f>'2025NewCourses'!Q91</f>
        <v>0</v>
      </c>
    </row>
    <row r="23" spans="1:39" x14ac:dyDescent="0.3">
      <c r="A23" s="62" t="s">
        <v>108</v>
      </c>
      <c r="B23" t="str">
        <f t="shared" si="3"/>
        <v>Electrical Fundamentals</v>
      </c>
      <c r="C23" t="str">
        <f t="shared" si="3"/>
        <v>25-05994-001</v>
      </c>
      <c r="D23" s="1">
        <f t="shared" si="3"/>
        <v>0.15</v>
      </c>
      <c r="E23" s="1">
        <f t="shared" si="3"/>
        <v>0.15</v>
      </c>
      <c r="F23" s="1">
        <f t="shared" si="3"/>
        <v>0.15</v>
      </c>
      <c r="G23" s="1">
        <f t="shared" si="3"/>
        <v>0.15</v>
      </c>
      <c r="H23" s="1">
        <f t="shared" si="3"/>
        <v>0.15</v>
      </c>
      <c r="I23" s="1">
        <f t="shared" si="3"/>
        <v>0.15</v>
      </c>
      <c r="AE23" s="65" t="s">
        <v>525</v>
      </c>
      <c r="AF23" s="66" t="s">
        <v>513</v>
      </c>
      <c r="AG23" s="71" t="str">
        <f>'2025NewCourses'!H92</f>
        <v>25-06030-001</v>
      </c>
      <c r="AH23" s="71">
        <f>'2025NewCourses'!L92</f>
        <v>0.15</v>
      </c>
      <c r="AI23" s="71">
        <f>'2025NewCourses'!M92</f>
        <v>0.15</v>
      </c>
      <c r="AJ23" s="71">
        <f>'2025NewCourses'!N92</f>
        <v>0.15</v>
      </c>
      <c r="AK23" s="71">
        <f>'2025NewCourses'!O92</f>
        <v>0.15</v>
      </c>
      <c r="AL23" s="71">
        <f>'2025NewCourses'!P92</f>
        <v>0.15</v>
      </c>
      <c r="AM23" s="72">
        <f>'2025NewCourses'!Q92</f>
        <v>0</v>
      </c>
    </row>
    <row r="24" spans="1:39" x14ac:dyDescent="0.3">
      <c r="A24" s="62" t="s">
        <v>521</v>
      </c>
      <c r="B24" t="str">
        <f t="shared" si="3"/>
        <v>Basic Chemistry</v>
      </c>
      <c r="C24" t="str">
        <f t="shared" si="3"/>
        <v>25-05997-001</v>
      </c>
      <c r="D24" s="1">
        <f t="shared" si="3"/>
        <v>0.25</v>
      </c>
      <c r="E24" s="1">
        <f t="shared" si="3"/>
        <v>0.25</v>
      </c>
      <c r="F24" s="1">
        <f t="shared" si="3"/>
        <v>0.25</v>
      </c>
      <c r="G24" s="1">
        <f t="shared" si="3"/>
        <v>0.25</v>
      </c>
      <c r="H24" s="1">
        <f t="shared" si="3"/>
        <v>0.25</v>
      </c>
      <c r="I24" s="1">
        <f t="shared" si="3"/>
        <v>0.25</v>
      </c>
      <c r="AE24" s="65" t="s">
        <v>526</v>
      </c>
      <c r="AF24" s="66" t="s">
        <v>515</v>
      </c>
      <c r="AG24" s="71" t="str">
        <f>'2025NewCourses'!H93</f>
        <v>25-07709-001</v>
      </c>
      <c r="AH24" s="71">
        <f>'2025NewCourses'!L93</f>
        <v>0.05</v>
      </c>
      <c r="AI24" s="71">
        <f>'2025NewCourses'!M93</f>
        <v>0.05</v>
      </c>
      <c r="AJ24" s="71">
        <f>'2025NewCourses'!N93</f>
        <v>0.05</v>
      </c>
      <c r="AK24" s="71">
        <f>'2025NewCourses'!O93</f>
        <v>0.05</v>
      </c>
      <c r="AL24" s="71">
        <f>'2025NewCourses'!P93</f>
        <v>0.05</v>
      </c>
      <c r="AM24" s="72">
        <f>'2025NewCourses'!Q93</f>
        <v>0</v>
      </c>
    </row>
    <row r="25" spans="1:39" x14ac:dyDescent="0.3">
      <c r="A25" s="62" t="s">
        <v>525</v>
      </c>
      <c r="B25" t="str">
        <f t="shared" si="3"/>
        <v>Laboratory - Proper Use of Spectrophotometers (QA/QC)</v>
      </c>
      <c r="C25" t="str">
        <f t="shared" si="3"/>
        <v>25-06030-001</v>
      </c>
      <c r="D25" s="1">
        <f t="shared" si="3"/>
        <v>0.15</v>
      </c>
      <c r="E25" s="1">
        <f t="shared" si="3"/>
        <v>0.15</v>
      </c>
      <c r="F25" s="1">
        <f t="shared" si="3"/>
        <v>0.15</v>
      </c>
      <c r="G25" s="1">
        <f t="shared" si="3"/>
        <v>0.15</v>
      </c>
      <c r="H25" s="1">
        <f t="shared" si="3"/>
        <v>0.15</v>
      </c>
      <c r="I25" s="1">
        <f t="shared" si="3"/>
        <v>0</v>
      </c>
      <c r="AE25" s="65" t="s">
        <v>527</v>
      </c>
      <c r="AF25" s="66" t="s">
        <v>1901</v>
      </c>
      <c r="AG25" s="71" t="str">
        <f>'2025NewCourses'!H94</f>
        <v>25-08960-001</v>
      </c>
      <c r="AH25" s="71">
        <f>'2025NewCourses'!L94</f>
        <v>0.15</v>
      </c>
      <c r="AI25" s="71">
        <f>'2025NewCourses'!M94</f>
        <v>0.15</v>
      </c>
      <c r="AJ25" s="71">
        <f>'2025NewCourses'!N94</f>
        <v>0.1</v>
      </c>
      <c r="AK25" s="71">
        <f>'2025NewCourses'!O94</f>
        <v>0.15</v>
      </c>
      <c r="AL25" s="71">
        <f>'2025NewCourses'!P94</f>
        <v>0.15</v>
      </c>
      <c r="AM25" s="72">
        <f>'2025NewCourses'!Q94</f>
        <v>0</v>
      </c>
    </row>
    <row r="26" spans="1:39" x14ac:dyDescent="0.3">
      <c r="A26" t="s">
        <v>319</v>
      </c>
      <c r="D26" s="1">
        <f>SUM(Table36[Max])</f>
        <v>0.85</v>
      </c>
      <c r="E26" s="1">
        <f>SUM(Table36[W])</f>
        <v>0.85</v>
      </c>
      <c r="F26" s="1">
        <f>SUM(Table36[WW])</f>
        <v>0.85</v>
      </c>
      <c r="G26" s="1">
        <f>SUM(Table36[I])</f>
        <v>0.85</v>
      </c>
      <c r="H26" s="1">
        <f>SUM(Table36[D])</f>
        <v>0.85</v>
      </c>
      <c r="I26" s="1">
        <f>SUM(Table36[C])</f>
        <v>0.7</v>
      </c>
      <c r="AE26" s="65" t="s">
        <v>528</v>
      </c>
      <c r="AF26" s="66" t="s">
        <v>1902</v>
      </c>
      <c r="AG26" s="71" t="str">
        <f>'2025NewCourses'!H95</f>
        <v>25-08961-001</v>
      </c>
      <c r="AH26" s="71">
        <f>'2025NewCourses'!L95</f>
        <v>0.2</v>
      </c>
      <c r="AI26" s="71">
        <f>'2025NewCourses'!M95</f>
        <v>0.2</v>
      </c>
      <c r="AJ26" s="71">
        <f>'2025NewCourses'!N95</f>
        <v>0.15</v>
      </c>
      <c r="AK26" s="71">
        <f>'2025NewCourses'!O95</f>
        <v>0.2</v>
      </c>
      <c r="AL26" s="71">
        <f>'2025NewCourses'!P95</f>
        <v>0.2</v>
      </c>
      <c r="AM26" s="72">
        <f>'2025NewCourses'!Q95</f>
        <v>0</v>
      </c>
    </row>
    <row r="27" spans="1:39" x14ac:dyDescent="0.3">
      <c r="AE27" s="65" t="s">
        <v>529</v>
      </c>
      <c r="AF27" s="66" t="s">
        <v>655</v>
      </c>
      <c r="AG27" s="71" t="str">
        <f>'2025NewCourses'!H96</f>
        <v>25-07639-001</v>
      </c>
      <c r="AH27" s="71">
        <f>'2025NewCourses'!L96</f>
        <v>0.1</v>
      </c>
      <c r="AI27" s="71">
        <f>'2025NewCourses'!M96</f>
        <v>0.1</v>
      </c>
      <c r="AJ27" s="71">
        <f>'2025NewCourses'!N96</f>
        <v>0.1</v>
      </c>
      <c r="AK27" s="71">
        <f>'2025NewCourses'!O96</f>
        <v>0.1</v>
      </c>
      <c r="AL27" s="71">
        <f>'2025NewCourses'!P96</f>
        <v>0</v>
      </c>
      <c r="AM27" s="72">
        <f>'2025NewCourses'!Q96</f>
        <v>0</v>
      </c>
    </row>
    <row r="28" spans="1:39" x14ac:dyDescent="0.3">
      <c r="A28" s="6" t="s">
        <v>2106</v>
      </c>
      <c r="I28" s="63">
        <f>D36*10*20*0.9</f>
        <v>162</v>
      </c>
      <c r="AE28" s="65" t="s">
        <v>530</v>
      </c>
      <c r="AF28" s="66" t="s">
        <v>1363</v>
      </c>
      <c r="AG28" s="71" t="str">
        <f>'2025NewCourses'!H97</f>
        <v>25-07744-001</v>
      </c>
      <c r="AH28" s="71">
        <f>'2025NewCourses'!L97</f>
        <v>0.2</v>
      </c>
      <c r="AI28" s="71">
        <f>'2025NewCourses'!M97</f>
        <v>0</v>
      </c>
      <c r="AJ28" s="71">
        <f>'2025NewCourses'!N97</f>
        <v>0.2</v>
      </c>
      <c r="AK28" s="71">
        <f>'2025NewCourses'!O97</f>
        <v>0.2</v>
      </c>
      <c r="AL28" s="71">
        <f>'2025NewCourses'!P97</f>
        <v>0</v>
      </c>
      <c r="AM28" s="72">
        <f>'2025NewCourses'!Q97</f>
        <v>0.2</v>
      </c>
    </row>
    <row r="29" spans="1:39" x14ac:dyDescent="0.3">
      <c r="A29" t="s">
        <v>1898</v>
      </c>
      <c r="B29" t="s">
        <v>279</v>
      </c>
      <c r="C29" t="s">
        <v>1900</v>
      </c>
      <c r="D29" s="1" t="s">
        <v>1187</v>
      </c>
      <c r="E29" s="1" t="s">
        <v>22</v>
      </c>
      <c r="F29" s="1" t="s">
        <v>23</v>
      </c>
      <c r="G29" s="1" t="s">
        <v>26</v>
      </c>
      <c r="H29" s="1" t="s">
        <v>25</v>
      </c>
      <c r="I29" s="1" t="s">
        <v>24</v>
      </c>
      <c r="AE29" s="65" t="s">
        <v>682</v>
      </c>
      <c r="AF29" s="70" t="s">
        <v>2017</v>
      </c>
      <c r="AG29" s="71" t="str">
        <f>'2025NewCourses'!H98</f>
        <v>25-10938-001</v>
      </c>
      <c r="AH29" s="71">
        <f>'2025NewCourses'!L98</f>
        <v>0.05</v>
      </c>
      <c r="AI29" s="71">
        <f>'2025NewCourses'!M98</f>
        <v>0</v>
      </c>
      <c r="AJ29" s="71">
        <f>'2025NewCourses'!N98</f>
        <v>0.05</v>
      </c>
      <c r="AK29" s="71">
        <f>'2025NewCourses'!O98</f>
        <v>0.05</v>
      </c>
      <c r="AL29" s="71">
        <f>'2025NewCourses'!P98</f>
        <v>0</v>
      </c>
      <c r="AM29" s="72">
        <f>'2025NewCourses'!Q98</f>
        <v>0.05</v>
      </c>
    </row>
    <row r="30" spans="1:39" x14ac:dyDescent="0.3">
      <c r="A30" s="62" t="s">
        <v>53</v>
      </c>
      <c r="B30" t="str">
        <f t="shared" ref="B30:I35" si="4">LOOKUP($A30,$AE:$AE,AF:AF)</f>
        <v>Pumps</v>
      </c>
      <c r="C30" t="str">
        <f t="shared" si="4"/>
        <v>25-06046-002</v>
      </c>
      <c r="D30" s="1">
        <f t="shared" si="4"/>
        <v>0.2</v>
      </c>
      <c r="E30" s="1">
        <f t="shared" si="4"/>
        <v>0.2</v>
      </c>
      <c r="F30" s="1">
        <f t="shared" si="4"/>
        <v>0.2</v>
      </c>
      <c r="G30" s="1">
        <f t="shared" si="4"/>
        <v>0.2</v>
      </c>
      <c r="H30" s="1">
        <f t="shared" si="4"/>
        <v>0.2</v>
      </c>
      <c r="I30" s="1">
        <f t="shared" si="4"/>
        <v>0.2</v>
      </c>
      <c r="AE30" s="65" t="s">
        <v>2053</v>
      </c>
      <c r="AF30" s="66" t="s">
        <v>1903</v>
      </c>
      <c r="AG30" s="71">
        <f>'2025NewCourses'!H99</f>
        <v>0</v>
      </c>
      <c r="AH30" s="71">
        <f>'2025NewCourses'!L99</f>
        <v>0.15</v>
      </c>
      <c r="AI30" s="71">
        <f>'2025NewCourses'!M99</f>
        <v>0.15</v>
      </c>
      <c r="AJ30" s="71">
        <f>'2025NewCourses'!N99</f>
        <v>0.15</v>
      </c>
      <c r="AK30" s="71">
        <f>'2025NewCourses'!O99</f>
        <v>0.15</v>
      </c>
      <c r="AL30" s="71">
        <f>'2025NewCourses'!P99</f>
        <v>0.15</v>
      </c>
      <c r="AM30" s="72">
        <f>'2025NewCourses'!Q99</f>
        <v>0</v>
      </c>
    </row>
    <row r="31" spans="1:39" x14ac:dyDescent="0.3">
      <c r="A31" s="62" t="str">
        <f>AE43</f>
        <v>SAF-002</v>
      </c>
      <c r="B31" t="str">
        <f t="shared" si="4"/>
        <v>Confined Space Entry</v>
      </c>
      <c r="C31" t="str">
        <f t="shared" si="4"/>
        <v>25-05999-001</v>
      </c>
      <c r="D31" s="1">
        <f t="shared" si="4"/>
        <v>0.15</v>
      </c>
      <c r="E31" s="1">
        <f t="shared" si="4"/>
        <v>0.15</v>
      </c>
      <c r="F31" s="1">
        <f t="shared" si="4"/>
        <v>0.15</v>
      </c>
      <c r="G31" s="1">
        <f t="shared" si="4"/>
        <v>0.15</v>
      </c>
      <c r="H31" s="1">
        <f t="shared" si="4"/>
        <v>0.15</v>
      </c>
      <c r="I31" s="1">
        <f t="shared" si="4"/>
        <v>0.15</v>
      </c>
      <c r="AE31" s="65" t="str">
        <f>'2025NewCourses'!A112</f>
        <v>MAN-001</v>
      </c>
      <c r="AF31" s="70" t="str">
        <f>'2025NewCourses'!C112</f>
        <v>Developing Standard Operating Procedures</v>
      </c>
      <c r="AG31" s="71" t="str">
        <f>'2025NewCourses'!H112</f>
        <v>25-10928-001</v>
      </c>
      <c r="AH31" s="71">
        <f>'2025NewCourses'!L112</f>
        <v>0.1</v>
      </c>
      <c r="AI31" s="71">
        <f>'2025NewCourses'!M112</f>
        <v>0</v>
      </c>
      <c r="AJ31" s="71">
        <f>'2025NewCourses'!N112</f>
        <v>0</v>
      </c>
      <c r="AK31" s="71">
        <f>'2025NewCourses'!O112</f>
        <v>0</v>
      </c>
      <c r="AL31" s="71">
        <f>'2025NewCourses'!P112</f>
        <v>0</v>
      </c>
      <c r="AM31" s="71">
        <f>'2025NewCourses'!Q112</f>
        <v>0</v>
      </c>
    </row>
    <row r="32" spans="1:39" x14ac:dyDescent="0.3">
      <c r="A32" s="62" t="str">
        <f>AE45</f>
        <v>SAF-004</v>
      </c>
      <c r="B32" t="str">
        <f t="shared" si="4"/>
        <v>Demolition Saws</v>
      </c>
      <c r="C32" t="str">
        <f t="shared" si="4"/>
        <v>25-09506-001</v>
      </c>
      <c r="D32" s="1">
        <f t="shared" si="4"/>
        <v>0.05</v>
      </c>
      <c r="E32" s="1">
        <f t="shared" si="4"/>
        <v>0.05</v>
      </c>
      <c r="F32" s="1">
        <f t="shared" si="4"/>
        <v>0.05</v>
      </c>
      <c r="G32" s="1">
        <f t="shared" si="4"/>
        <v>0.05</v>
      </c>
      <c r="H32" s="1">
        <f t="shared" si="4"/>
        <v>0.05</v>
      </c>
      <c r="I32" s="1">
        <f t="shared" si="4"/>
        <v>0.05</v>
      </c>
      <c r="AE32" s="65" t="s">
        <v>174</v>
      </c>
      <c r="AF32" s="687" t="s">
        <v>238</v>
      </c>
      <c r="AG32" s="71" t="str">
        <f>'2025NewCourses'!H5</f>
        <v>25-05983-002</v>
      </c>
      <c r="AH32" s="71">
        <f>'2025NewCourses'!L5</f>
        <v>0.1</v>
      </c>
      <c r="AI32" s="71">
        <f>'2025NewCourses'!M5</f>
        <v>0.1</v>
      </c>
      <c r="AJ32" s="71">
        <f>'2025NewCourses'!N5</f>
        <v>0.1</v>
      </c>
      <c r="AK32" s="71">
        <f>'2025NewCourses'!O5</f>
        <v>0.1</v>
      </c>
      <c r="AL32" s="71">
        <f>'2025NewCourses'!P5</f>
        <v>0.1</v>
      </c>
      <c r="AM32" s="72">
        <f>'2025NewCourses'!Q5</f>
        <v>0.1</v>
      </c>
    </row>
    <row r="33" spans="1:39" x14ac:dyDescent="0.3">
      <c r="A33" s="62" t="s">
        <v>57</v>
      </c>
      <c r="B33" t="str">
        <f t="shared" si="4"/>
        <v>Corrosion Control</v>
      </c>
      <c r="C33" t="str">
        <f t="shared" si="4"/>
        <v>25-05992-001</v>
      </c>
      <c r="D33" s="1">
        <f t="shared" si="4"/>
        <v>0.25</v>
      </c>
      <c r="E33" s="1">
        <f t="shared" si="4"/>
        <v>0.25</v>
      </c>
      <c r="F33" s="1">
        <f t="shared" si="4"/>
        <v>0.25</v>
      </c>
      <c r="G33" s="1">
        <f t="shared" si="4"/>
        <v>0.25</v>
      </c>
      <c r="H33" s="1">
        <f t="shared" si="4"/>
        <v>0.25</v>
      </c>
      <c r="I33" s="1">
        <f t="shared" si="4"/>
        <v>0.25</v>
      </c>
      <c r="AE33" s="65" t="s">
        <v>51</v>
      </c>
      <c r="AF33" s="687" t="s">
        <v>34</v>
      </c>
      <c r="AG33" s="71" t="str">
        <f>'2025NewCourses'!H6</f>
        <v>25-05984-002</v>
      </c>
      <c r="AH33" s="71">
        <f>'2025NewCourses'!L6</f>
        <v>0.05</v>
      </c>
      <c r="AI33" s="71">
        <f>'2025NewCourses'!M6</f>
        <v>0.05</v>
      </c>
      <c r="AJ33" s="71">
        <f>'2025NewCourses'!N6</f>
        <v>0.05</v>
      </c>
      <c r="AK33" s="71">
        <f>'2025NewCourses'!O6</f>
        <v>0.05</v>
      </c>
      <c r="AL33" s="71">
        <f>'2025NewCourses'!P6</f>
        <v>0.05</v>
      </c>
      <c r="AM33" s="72">
        <f>'2025NewCourses'!Q6</f>
        <v>0.05</v>
      </c>
    </row>
    <row r="34" spans="1:39" x14ac:dyDescent="0.3">
      <c r="A34" s="62" t="s">
        <v>1052</v>
      </c>
      <c r="B34" t="str">
        <f t="shared" si="4"/>
        <v>Backflow Preventers</v>
      </c>
      <c r="C34" t="str">
        <f t="shared" si="4"/>
        <v>25-08959-001</v>
      </c>
      <c r="D34" s="1">
        <f t="shared" si="4"/>
        <v>0.05</v>
      </c>
      <c r="E34" s="1">
        <f t="shared" si="4"/>
        <v>0.05</v>
      </c>
      <c r="F34" s="1">
        <f t="shared" si="4"/>
        <v>0.05</v>
      </c>
      <c r="G34" s="1">
        <f t="shared" si="4"/>
        <v>0.05</v>
      </c>
      <c r="H34" s="1">
        <f t="shared" si="4"/>
        <v>0.05</v>
      </c>
      <c r="I34" s="1">
        <f t="shared" si="4"/>
        <v>0.05</v>
      </c>
      <c r="AE34" s="65" t="s">
        <v>52</v>
      </c>
      <c r="AF34" s="687" t="s">
        <v>35</v>
      </c>
      <c r="AG34" s="71" t="str">
        <f>'2025NewCourses'!H7</f>
        <v>25-05985-002</v>
      </c>
      <c r="AH34" s="71">
        <f>'2025NewCourses'!L7</f>
        <v>0.05</v>
      </c>
      <c r="AI34" s="71">
        <f>'2025NewCourses'!M7</f>
        <v>0.05</v>
      </c>
      <c r="AJ34" s="71">
        <f>'2025NewCourses'!N7</f>
        <v>0.05</v>
      </c>
      <c r="AK34" s="71">
        <f>'2025NewCourses'!O7</f>
        <v>0.05</v>
      </c>
      <c r="AL34" s="71">
        <f>'2025NewCourses'!P7</f>
        <v>0.05</v>
      </c>
      <c r="AM34" s="72">
        <f>'2025NewCourses'!Q7</f>
        <v>0.05</v>
      </c>
    </row>
    <row r="35" spans="1:39" x14ac:dyDescent="0.3">
      <c r="A35" s="62" t="s">
        <v>522</v>
      </c>
      <c r="B35" t="str">
        <f t="shared" si="4"/>
        <v>Laboratory - pH, Alkalinity, and Hardness</v>
      </c>
      <c r="C35" t="str">
        <f t="shared" si="4"/>
        <v>25-07704-001</v>
      </c>
      <c r="D35" s="1">
        <f t="shared" si="4"/>
        <v>0.2</v>
      </c>
      <c r="E35" s="1">
        <f t="shared" si="4"/>
        <v>0.2</v>
      </c>
      <c r="F35" s="1">
        <f t="shared" si="4"/>
        <v>0.2</v>
      </c>
      <c r="G35" s="1">
        <f t="shared" si="4"/>
        <v>0.2</v>
      </c>
      <c r="H35" s="1">
        <f t="shared" si="4"/>
        <v>0.2</v>
      </c>
      <c r="I35" s="1">
        <f t="shared" si="4"/>
        <v>0.05</v>
      </c>
      <c r="AE35" s="65" t="s">
        <v>236</v>
      </c>
      <c r="AF35" s="687" t="s">
        <v>36</v>
      </c>
      <c r="AG35" s="71" t="str">
        <f>'2025NewCourses'!H8</f>
        <v>25-05986-002</v>
      </c>
      <c r="AH35" s="71">
        <f>'2025NewCourses'!L8</f>
        <v>0.05</v>
      </c>
      <c r="AI35" s="71">
        <f>'2025NewCourses'!M8</f>
        <v>0.05</v>
      </c>
      <c r="AJ35" s="71">
        <f>'2025NewCourses'!N8</f>
        <v>0.05</v>
      </c>
      <c r="AK35" s="71">
        <f>'2025NewCourses'!O8</f>
        <v>0.05</v>
      </c>
      <c r="AL35" s="71">
        <f>'2025NewCourses'!P8</f>
        <v>0.05</v>
      </c>
      <c r="AM35" s="72">
        <f>'2025NewCourses'!Q8</f>
        <v>0.05</v>
      </c>
    </row>
    <row r="36" spans="1:39" x14ac:dyDescent="0.3">
      <c r="A36" t="s">
        <v>319</v>
      </c>
      <c r="D36" s="1">
        <f>SUM(Table38[Max])</f>
        <v>0.89999999999999991</v>
      </c>
      <c r="E36" s="1">
        <f>SUM(Table38[W])</f>
        <v>0.89999999999999991</v>
      </c>
      <c r="F36" s="1">
        <f>SUM(Table38[WW])</f>
        <v>0.89999999999999991</v>
      </c>
      <c r="G36" s="1">
        <f>SUM(Table38[I])</f>
        <v>0.89999999999999991</v>
      </c>
      <c r="H36" s="1">
        <f>SUM(Table38[D])</f>
        <v>0.89999999999999991</v>
      </c>
      <c r="I36" s="1">
        <f>SUM(Table38[C])</f>
        <v>0.75</v>
      </c>
      <c r="AE36" s="65" t="s">
        <v>232</v>
      </c>
      <c r="AF36" s="687" t="s">
        <v>233</v>
      </c>
      <c r="AG36" s="71" t="str">
        <f>'2025NewCourses'!H9</f>
        <v>25-05987-001</v>
      </c>
      <c r="AH36" s="71">
        <f>'2025NewCourses'!L9</f>
        <v>0.1</v>
      </c>
      <c r="AI36" s="71">
        <f>'2025NewCourses'!M9</f>
        <v>0.1</v>
      </c>
      <c r="AJ36" s="71">
        <f>'2025NewCourses'!N9</f>
        <v>0.1</v>
      </c>
      <c r="AK36" s="71">
        <f>'2025NewCourses'!O9</f>
        <v>0.1</v>
      </c>
      <c r="AL36" s="71">
        <f>'2025NewCourses'!P9</f>
        <v>0.1</v>
      </c>
      <c r="AM36" s="72">
        <f>'2025NewCourses'!Q9</f>
        <v>0.1</v>
      </c>
    </row>
    <row r="37" spans="1:39" x14ac:dyDescent="0.3">
      <c r="AE37" s="65" t="s">
        <v>234</v>
      </c>
      <c r="AF37" s="687" t="s">
        <v>235</v>
      </c>
      <c r="AG37" s="71" t="str">
        <f>'2025NewCourses'!H10</f>
        <v>25-05988-001</v>
      </c>
      <c r="AH37" s="71">
        <f>'2025NewCourses'!L10</f>
        <v>0.15</v>
      </c>
      <c r="AI37" s="71">
        <f>'2025NewCourses'!M10</f>
        <v>0.15</v>
      </c>
      <c r="AJ37" s="71">
        <f>'2025NewCourses'!N10</f>
        <v>0.15</v>
      </c>
      <c r="AK37" s="71">
        <f>'2025NewCourses'!O10</f>
        <v>0.15</v>
      </c>
      <c r="AL37" s="71">
        <f>'2025NewCourses'!P10</f>
        <v>0.15</v>
      </c>
      <c r="AM37" s="72">
        <f>'2025NewCourses'!Q10</f>
        <v>0.15</v>
      </c>
    </row>
    <row r="38" spans="1:39" x14ac:dyDescent="0.3">
      <c r="A38" s="6" t="s">
        <v>2107</v>
      </c>
      <c r="I38" s="63">
        <f>(D51-0.4)*10*20*0.9</f>
        <v>225</v>
      </c>
      <c r="AE38" s="65" t="s">
        <v>290</v>
      </c>
      <c r="AF38" s="687" t="s">
        <v>291</v>
      </c>
      <c r="AG38" s="71" t="str">
        <f>'2025NewCourses'!H11</f>
        <v>25-06672-001</v>
      </c>
      <c r="AH38" s="71">
        <f>'2025NewCourses'!L11</f>
        <v>0.05</v>
      </c>
      <c r="AI38" s="71">
        <f>'2025NewCourses'!M11</f>
        <v>0.05</v>
      </c>
      <c r="AJ38" s="71">
        <f>'2025NewCourses'!N11</f>
        <v>0.05</v>
      </c>
      <c r="AK38" s="71">
        <f>'2025NewCourses'!O11</f>
        <v>0.05</v>
      </c>
      <c r="AL38" s="71">
        <f>'2025NewCourses'!P11</f>
        <v>0.05</v>
      </c>
      <c r="AM38" s="72">
        <f>'2025NewCourses'!Q11</f>
        <v>0.05</v>
      </c>
    </row>
    <row r="39" spans="1:39" x14ac:dyDescent="0.3">
      <c r="A39" t="s">
        <v>1898</v>
      </c>
      <c r="B39" t="s">
        <v>279</v>
      </c>
      <c r="C39" t="s">
        <v>1900</v>
      </c>
      <c r="D39" s="1" t="s">
        <v>1187</v>
      </c>
      <c r="E39" s="1" t="s">
        <v>22</v>
      </c>
      <c r="F39" s="1" t="s">
        <v>23</v>
      </c>
      <c r="G39" s="1" t="s">
        <v>26</v>
      </c>
      <c r="H39" s="1" t="s">
        <v>25</v>
      </c>
      <c r="I39" s="1" t="s">
        <v>24</v>
      </c>
      <c r="AE39" s="65" t="s">
        <v>1654</v>
      </c>
      <c r="AF39" s="687" t="s">
        <v>1657</v>
      </c>
      <c r="AG39" s="71" t="str">
        <f>'2025NewCourses'!H12</f>
        <v>25-10564-001</v>
      </c>
      <c r="AH39" s="71">
        <f>'2025NewCourses'!L12</f>
        <v>0.2</v>
      </c>
      <c r="AI39" s="71">
        <f>'2025NewCourses'!M12</f>
        <v>0</v>
      </c>
      <c r="AJ39" s="71">
        <f>'2025NewCourses'!N12</f>
        <v>0.2</v>
      </c>
      <c r="AK39" s="71">
        <f>'2025NewCourses'!O12</f>
        <v>0.2</v>
      </c>
      <c r="AL39" s="71">
        <f>'2025NewCourses'!P12</f>
        <v>0</v>
      </c>
      <c r="AM39" s="72">
        <f>'2025NewCourses'!Q12</f>
        <v>0</v>
      </c>
    </row>
    <row r="40" spans="1:39" x14ac:dyDescent="0.3">
      <c r="A40" s="62" t="s">
        <v>521</v>
      </c>
      <c r="B40" t="str">
        <f t="shared" ref="B40:B50" si="5">LOOKUP($A40,$AE:$AE,AF:AF)</f>
        <v>Basic Chemistry</v>
      </c>
      <c r="C40" s="1" t="str">
        <f t="shared" ref="C40:C50" si="6">LOOKUP($A40,$AE:$AE,AG:AG)</f>
        <v>25-05997-001</v>
      </c>
      <c r="D40" s="3">
        <f t="shared" ref="D40:D50" si="7">AH19</f>
        <v>0.25</v>
      </c>
      <c r="E40" s="1">
        <f t="shared" ref="E40:E49" si="8">LOOKUP($A40,$AE:$AE,AI:AI)</f>
        <v>0.25</v>
      </c>
      <c r="F40" s="1">
        <f t="shared" ref="F40:F49" si="9">LOOKUP($A40,$AE:$AE,AJ:AJ)</f>
        <v>0.25</v>
      </c>
      <c r="G40" s="1">
        <f t="shared" ref="G40:G49" si="10">LOOKUP($A40,$AE:$AE,AK:AK)</f>
        <v>0.25</v>
      </c>
      <c r="H40" s="1">
        <f t="shared" ref="H40:H49" si="11">LOOKUP($A40,$AE:$AE,AL:AL)</f>
        <v>0.25</v>
      </c>
      <c r="I40" s="1">
        <f t="shared" ref="I40:I49" si="12">LOOKUP($A40,$AE:$AE,AM:AM)</f>
        <v>0.25</v>
      </c>
      <c r="AE40" s="65" t="s">
        <v>1655</v>
      </c>
      <c r="AF40" s="687" t="s">
        <v>1658</v>
      </c>
      <c r="AG40" s="71" t="str">
        <f>'2025NewCourses'!H13</f>
        <v>25-10565-001</v>
      </c>
      <c r="AH40" s="71">
        <f>'2025NewCourses'!L13</f>
        <v>0.2</v>
      </c>
      <c r="AI40" s="71">
        <f>'2025NewCourses'!M13</f>
        <v>0</v>
      </c>
      <c r="AJ40" s="71">
        <f>'2025NewCourses'!N13</f>
        <v>0.2</v>
      </c>
      <c r="AK40" s="71">
        <f>'2025NewCourses'!O13</f>
        <v>0.2</v>
      </c>
      <c r="AL40" s="71">
        <f>'2025NewCourses'!P13</f>
        <v>0</v>
      </c>
      <c r="AM40" s="72">
        <f>'2025NewCourses'!Q13</f>
        <v>0</v>
      </c>
    </row>
    <row r="41" spans="1:39" x14ac:dyDescent="0.3">
      <c r="A41" s="62" t="s">
        <v>522</v>
      </c>
      <c r="B41" t="str">
        <f t="shared" si="5"/>
        <v>Laboratory - pH, Alkalinity, and Hardness</v>
      </c>
      <c r="C41" s="1" t="str">
        <f t="shared" si="6"/>
        <v>25-07704-001</v>
      </c>
      <c r="D41" s="3">
        <f t="shared" si="7"/>
        <v>0.2</v>
      </c>
      <c r="E41" s="1">
        <f t="shared" si="8"/>
        <v>0.2</v>
      </c>
      <c r="F41" s="1">
        <f t="shared" si="9"/>
        <v>0.2</v>
      </c>
      <c r="G41" s="1">
        <f t="shared" si="10"/>
        <v>0.2</v>
      </c>
      <c r="H41" s="1">
        <f t="shared" si="11"/>
        <v>0.2</v>
      </c>
      <c r="I41" s="1">
        <f t="shared" si="12"/>
        <v>0.05</v>
      </c>
      <c r="AE41" s="65" t="s">
        <v>1656</v>
      </c>
      <c r="AF41" s="687" t="s">
        <v>1659</v>
      </c>
      <c r="AG41" s="71" t="str">
        <f>'2025NewCourses'!H14</f>
        <v>25-10566-001</v>
      </c>
      <c r="AH41" s="71">
        <f>'2025NewCourses'!L14</f>
        <v>0.2</v>
      </c>
      <c r="AI41" s="71">
        <f>'2025NewCourses'!M14</f>
        <v>0</v>
      </c>
      <c r="AJ41" s="71">
        <f>'2025NewCourses'!N14</f>
        <v>0.2</v>
      </c>
      <c r="AK41" s="71">
        <f>'2025NewCourses'!O14</f>
        <v>0.2</v>
      </c>
      <c r="AL41" s="71">
        <f>'2025NewCourses'!P14</f>
        <v>0</v>
      </c>
      <c r="AM41" s="72">
        <f>'2025NewCourses'!Q14</f>
        <v>0</v>
      </c>
    </row>
    <row r="42" spans="1:39" x14ac:dyDescent="0.3">
      <c r="A42" s="62" t="s">
        <v>523</v>
      </c>
      <c r="B42" t="str">
        <f t="shared" si="5"/>
        <v>Laboratory - TDS, Conductivity, and Turbidity</v>
      </c>
      <c r="C42" s="1" t="str">
        <f t="shared" si="6"/>
        <v>25-07745-001</v>
      </c>
      <c r="D42" s="3">
        <f t="shared" si="7"/>
        <v>0.2</v>
      </c>
      <c r="E42" s="1">
        <f t="shared" si="8"/>
        <v>0.2</v>
      </c>
      <c r="F42" s="1">
        <f t="shared" si="9"/>
        <v>0.2</v>
      </c>
      <c r="G42" s="1">
        <f t="shared" si="10"/>
        <v>0.2</v>
      </c>
      <c r="H42" s="1">
        <f t="shared" si="11"/>
        <v>0.2</v>
      </c>
      <c r="I42" s="1">
        <f t="shared" si="12"/>
        <v>0</v>
      </c>
      <c r="AE42" s="65" t="s">
        <v>63</v>
      </c>
      <c r="AF42" s="66" t="s">
        <v>20</v>
      </c>
      <c r="AG42" s="71" t="str">
        <f>'2025NewCourses'!H27</f>
        <v>25-05998-001</v>
      </c>
      <c r="AH42" s="71">
        <f>'2025NewCourses'!L27</f>
        <v>0.25</v>
      </c>
      <c r="AI42" s="71">
        <f>'2025NewCourses'!M27</f>
        <v>0</v>
      </c>
      <c r="AJ42" s="71">
        <f>'2025NewCourses'!N27</f>
        <v>0</v>
      </c>
      <c r="AK42" s="71">
        <f>'2025NewCourses'!O27</f>
        <v>0</v>
      </c>
      <c r="AL42" s="71">
        <f>'2025NewCourses'!P27</f>
        <v>0.25</v>
      </c>
      <c r="AM42" s="72">
        <f>'2025NewCourses'!Q27</f>
        <v>0.25</v>
      </c>
    </row>
    <row r="43" spans="1:39" x14ac:dyDescent="0.3">
      <c r="A43" s="62" t="s">
        <v>524</v>
      </c>
      <c r="B43" t="str">
        <f t="shared" si="5"/>
        <v>Laboratory - Total Suspended Solids</v>
      </c>
      <c r="C43" s="1" t="str">
        <f t="shared" si="6"/>
        <v>25-06028-001</v>
      </c>
      <c r="D43" s="3">
        <f t="shared" si="7"/>
        <v>0.1</v>
      </c>
      <c r="E43" s="1">
        <f t="shared" si="8"/>
        <v>0.1</v>
      </c>
      <c r="F43" s="1">
        <f t="shared" si="9"/>
        <v>0.1</v>
      </c>
      <c r="G43" s="1">
        <f t="shared" si="10"/>
        <v>0.1</v>
      </c>
      <c r="H43" s="1">
        <f t="shared" si="11"/>
        <v>0</v>
      </c>
      <c r="I43" s="1">
        <f t="shared" si="12"/>
        <v>0</v>
      </c>
      <c r="AE43" s="65" t="s">
        <v>64</v>
      </c>
      <c r="AF43" s="66" t="s">
        <v>18</v>
      </c>
      <c r="AG43" s="71" t="str">
        <f>'2025NewCourses'!H28</f>
        <v>25-05999-001</v>
      </c>
      <c r="AH43" s="71">
        <f>'2025NewCourses'!L28</f>
        <v>0.15</v>
      </c>
      <c r="AI43" s="71">
        <f>'2025NewCourses'!M28</f>
        <v>0.15</v>
      </c>
      <c r="AJ43" s="71">
        <f>'2025NewCourses'!N28</f>
        <v>0.15</v>
      </c>
      <c r="AK43" s="71">
        <f>'2025NewCourses'!O28</f>
        <v>0.15</v>
      </c>
      <c r="AL43" s="71">
        <f>'2025NewCourses'!P28</f>
        <v>0.15</v>
      </c>
      <c r="AM43" s="72">
        <f>'2025NewCourses'!Q28</f>
        <v>0.15</v>
      </c>
    </row>
    <row r="44" spans="1:39" x14ac:dyDescent="0.3">
      <c r="A44" s="62" t="s">
        <v>525</v>
      </c>
      <c r="B44" t="str">
        <f t="shared" si="5"/>
        <v>Laboratory - Proper Use of Spectrophotometers (QA/QC)</v>
      </c>
      <c r="C44" s="1" t="str">
        <f t="shared" si="6"/>
        <v>25-06030-001</v>
      </c>
      <c r="D44" s="3">
        <f t="shared" si="7"/>
        <v>0.15</v>
      </c>
      <c r="E44" s="1">
        <f t="shared" si="8"/>
        <v>0.15</v>
      </c>
      <c r="F44" s="1">
        <f t="shared" si="9"/>
        <v>0.15</v>
      </c>
      <c r="G44" s="1">
        <f t="shared" si="10"/>
        <v>0.15</v>
      </c>
      <c r="H44" s="1">
        <f t="shared" si="11"/>
        <v>0.15</v>
      </c>
      <c r="I44" s="1">
        <f t="shared" si="12"/>
        <v>0</v>
      </c>
      <c r="AE44" s="65" t="s">
        <v>1407</v>
      </c>
      <c r="AF44" s="66" t="s">
        <v>1408</v>
      </c>
      <c r="AG44" s="71" t="str">
        <f>'2025NewCourses'!H29</f>
        <v>25-09451-001</v>
      </c>
      <c r="AH44" s="71">
        <f>'2025NewCourses'!L29</f>
        <v>0.1</v>
      </c>
      <c r="AI44" s="71">
        <f>'2025NewCourses'!M29</f>
        <v>0</v>
      </c>
      <c r="AJ44" s="71">
        <f>'2025NewCourses'!N29</f>
        <v>0</v>
      </c>
      <c r="AK44" s="71">
        <f>'2025NewCourses'!O29</f>
        <v>0</v>
      </c>
      <c r="AL44" s="71">
        <f>'2025NewCourses'!P29</f>
        <v>0</v>
      </c>
      <c r="AM44" s="72">
        <f>'2025NewCourses'!Q29</f>
        <v>0</v>
      </c>
    </row>
    <row r="45" spans="1:39" x14ac:dyDescent="0.3">
      <c r="A45" s="62" t="s">
        <v>526</v>
      </c>
      <c r="B45" t="str">
        <f t="shared" si="5"/>
        <v>Laboratory - Chlorine Residual by DPD</v>
      </c>
      <c r="C45" s="1" t="str">
        <f t="shared" si="6"/>
        <v>25-07709-001</v>
      </c>
      <c r="D45" s="3">
        <f t="shared" si="7"/>
        <v>0.05</v>
      </c>
      <c r="E45" s="1">
        <f t="shared" si="8"/>
        <v>0.05</v>
      </c>
      <c r="F45" s="1">
        <f t="shared" si="9"/>
        <v>0.05</v>
      </c>
      <c r="G45" s="1">
        <f t="shared" si="10"/>
        <v>0.05</v>
      </c>
      <c r="H45" s="1">
        <f t="shared" si="11"/>
        <v>0.05</v>
      </c>
      <c r="I45" s="1">
        <f t="shared" si="12"/>
        <v>0</v>
      </c>
      <c r="AE45" s="65" t="s">
        <v>1411</v>
      </c>
      <c r="AF45" s="66" t="s">
        <v>2022</v>
      </c>
      <c r="AG45" s="71" t="str">
        <f>'2025NewCourses'!H30</f>
        <v>25-09506-001</v>
      </c>
      <c r="AH45" s="71">
        <f>'2025NewCourses'!L30</f>
        <v>0.05</v>
      </c>
      <c r="AI45" s="71">
        <f>'2025NewCourses'!M30</f>
        <v>0.05</v>
      </c>
      <c r="AJ45" s="71">
        <f>'2025NewCourses'!N30</f>
        <v>0.05</v>
      </c>
      <c r="AK45" s="71">
        <f>'2025NewCourses'!O30</f>
        <v>0.05</v>
      </c>
      <c r="AL45" s="71">
        <f>'2025NewCourses'!P30</f>
        <v>0.05</v>
      </c>
      <c r="AM45" s="72">
        <f>'2025NewCourses'!Q30</f>
        <v>0.05</v>
      </c>
    </row>
    <row r="46" spans="1:39" x14ac:dyDescent="0.3">
      <c r="A46" s="62" t="s">
        <v>527</v>
      </c>
      <c r="B46" t="str">
        <f t="shared" si="5"/>
        <v xml:space="preserve">Laboratory - Spectroscopic Tests: Fluoride, Nitrite, and Nitrate </v>
      </c>
      <c r="C46" s="1" t="str">
        <f t="shared" si="6"/>
        <v>25-08960-001</v>
      </c>
      <c r="D46" s="3">
        <f t="shared" si="7"/>
        <v>0.15</v>
      </c>
      <c r="E46" s="1">
        <f t="shared" si="8"/>
        <v>0.15</v>
      </c>
      <c r="F46" s="1">
        <f t="shared" si="9"/>
        <v>0.1</v>
      </c>
      <c r="G46" s="1">
        <f t="shared" si="10"/>
        <v>0.15</v>
      </c>
      <c r="H46" s="1">
        <f t="shared" si="11"/>
        <v>0.15</v>
      </c>
      <c r="I46" s="1">
        <f t="shared" si="12"/>
        <v>0</v>
      </c>
      <c r="AE46" s="65" t="s">
        <v>90</v>
      </c>
      <c r="AF46" s="66" t="s">
        <v>44</v>
      </c>
      <c r="AG46" s="71" t="str">
        <f>'2025NewCourses'!H75</f>
        <v>25-06034-002</v>
      </c>
      <c r="AH46" s="71">
        <f>'2025NewCourses'!L75</f>
        <v>0.1</v>
      </c>
      <c r="AI46" s="71">
        <f>'2025NewCourses'!M75</f>
        <v>0.1</v>
      </c>
      <c r="AJ46" s="71">
        <f>'2025NewCourses'!N75</f>
        <v>0</v>
      </c>
      <c r="AK46" s="71">
        <f>'2025NewCourses'!O75</f>
        <v>0</v>
      </c>
      <c r="AL46" s="71">
        <f>'2025NewCourses'!P75</f>
        <v>0.1</v>
      </c>
      <c r="AM46" s="72">
        <f>'2025NewCourses'!Q75</f>
        <v>0</v>
      </c>
    </row>
    <row r="47" spans="1:39" x14ac:dyDescent="0.3">
      <c r="A47" t="s">
        <v>528</v>
      </c>
      <c r="B47" t="str">
        <f t="shared" si="5"/>
        <v>Laboratory - Ion-Selective Electrodes (ammonia, nitrate, fluoride)</v>
      </c>
      <c r="C47" s="1" t="str">
        <f t="shared" si="6"/>
        <v>25-08961-001</v>
      </c>
      <c r="D47" s="3">
        <f t="shared" si="7"/>
        <v>0.2</v>
      </c>
      <c r="E47" s="1">
        <f t="shared" si="8"/>
        <v>0.2</v>
      </c>
      <c r="F47" s="1">
        <f t="shared" si="9"/>
        <v>0.15</v>
      </c>
      <c r="G47" s="1">
        <f t="shared" si="10"/>
        <v>0.2</v>
      </c>
      <c r="H47" s="1">
        <f t="shared" si="11"/>
        <v>0.2</v>
      </c>
      <c r="I47" s="1">
        <f t="shared" si="12"/>
        <v>0</v>
      </c>
      <c r="AE47" s="65" t="s">
        <v>91</v>
      </c>
      <c r="AF47" s="66" t="s">
        <v>45</v>
      </c>
      <c r="AG47" s="71" t="str">
        <f>'2025NewCourses'!H76</f>
        <v>25-06035-001</v>
      </c>
      <c r="AH47" s="71">
        <f>'2025NewCourses'!L76</f>
        <v>0.15</v>
      </c>
      <c r="AI47" s="71">
        <f>'2025NewCourses'!M76</f>
        <v>0.15</v>
      </c>
      <c r="AJ47" s="71">
        <f>'2025NewCourses'!N76</f>
        <v>0</v>
      </c>
      <c r="AK47" s="71">
        <f>'2025NewCourses'!O76</f>
        <v>0</v>
      </c>
      <c r="AL47" s="71">
        <f>'2025NewCourses'!P76</f>
        <v>0.15</v>
      </c>
      <c r="AM47" s="72">
        <f>'2025NewCourses'!Q76</f>
        <v>0</v>
      </c>
    </row>
    <row r="48" spans="1:39" x14ac:dyDescent="0.3">
      <c r="A48" t="s">
        <v>529</v>
      </c>
      <c r="B48" t="str">
        <f t="shared" si="5"/>
        <v>Laboratory - Jar Testing</v>
      </c>
      <c r="C48" s="1" t="str">
        <f t="shared" si="6"/>
        <v>25-07639-001</v>
      </c>
      <c r="D48" s="3">
        <f t="shared" si="7"/>
        <v>0.1</v>
      </c>
      <c r="E48" s="1">
        <f t="shared" si="8"/>
        <v>0.1</v>
      </c>
      <c r="F48" s="1">
        <f t="shared" si="9"/>
        <v>0.1</v>
      </c>
      <c r="G48" s="1">
        <f t="shared" si="10"/>
        <v>0.1</v>
      </c>
      <c r="H48" s="1">
        <f t="shared" si="11"/>
        <v>0</v>
      </c>
      <c r="I48" s="1">
        <f t="shared" si="12"/>
        <v>0</v>
      </c>
      <c r="AE48" s="65" t="s">
        <v>92</v>
      </c>
      <c r="AF48" s="66" t="s">
        <v>46</v>
      </c>
      <c r="AG48" s="71" t="str">
        <f>'2025NewCourses'!H77</f>
        <v>25-06036-001</v>
      </c>
      <c r="AH48" s="71">
        <f>'2025NewCourses'!L77</f>
        <v>0.1</v>
      </c>
      <c r="AI48" s="71">
        <f>'2025NewCourses'!M77</f>
        <v>0.1</v>
      </c>
      <c r="AJ48" s="71">
        <f>'2025NewCourses'!N77</f>
        <v>0</v>
      </c>
      <c r="AK48" s="71">
        <f>'2025NewCourses'!O77</f>
        <v>0.1</v>
      </c>
      <c r="AL48" s="71">
        <f>'2025NewCourses'!P77</f>
        <v>0.1</v>
      </c>
      <c r="AM48" s="72">
        <f>'2025NewCourses'!Q77</f>
        <v>0</v>
      </c>
    </row>
    <row r="49" spans="1:39" x14ac:dyDescent="0.3">
      <c r="A49" t="s">
        <v>530</v>
      </c>
      <c r="B49" t="str">
        <f t="shared" si="5"/>
        <v>Laboratory Testing - Biochemical Oxygen Demand</v>
      </c>
      <c r="C49" s="1" t="str">
        <f t="shared" si="6"/>
        <v>25-07744-001</v>
      </c>
      <c r="D49" s="3">
        <f t="shared" si="7"/>
        <v>0.2</v>
      </c>
      <c r="E49" s="1">
        <f t="shared" si="8"/>
        <v>0</v>
      </c>
      <c r="F49" s="1">
        <f t="shared" si="9"/>
        <v>0.2</v>
      </c>
      <c r="G49" s="1">
        <f t="shared" si="10"/>
        <v>0.2</v>
      </c>
      <c r="H49" s="1">
        <f t="shared" si="11"/>
        <v>0</v>
      </c>
      <c r="I49" s="1">
        <f t="shared" si="12"/>
        <v>0.2</v>
      </c>
      <c r="AE49" s="65" t="s">
        <v>93</v>
      </c>
      <c r="AF49" s="66" t="s">
        <v>338</v>
      </c>
      <c r="AG49" s="71" t="str">
        <f>'2025NewCourses'!H78</f>
        <v>25-06037-001</v>
      </c>
      <c r="AH49" s="71">
        <f>'2025NewCourses'!L78</f>
        <v>0.25</v>
      </c>
      <c r="AI49" s="71">
        <f>'2025NewCourses'!M78</f>
        <v>0.25</v>
      </c>
      <c r="AJ49" s="71">
        <f>'2025NewCourses'!N78</f>
        <v>0</v>
      </c>
      <c r="AK49" s="71">
        <f>'2025NewCourses'!O78</f>
        <v>0</v>
      </c>
      <c r="AL49" s="71">
        <f>'2025NewCourses'!P78</f>
        <v>0</v>
      </c>
      <c r="AM49" s="72">
        <f>'2025NewCourses'!Q78</f>
        <v>0</v>
      </c>
    </row>
    <row r="50" spans="1:39" x14ac:dyDescent="0.3">
      <c r="A50" t="s">
        <v>682</v>
      </c>
      <c r="B50" t="str">
        <f t="shared" si="5"/>
        <v>Laboratory Testing - BOD Calculations</v>
      </c>
      <c r="C50" s="1" t="str">
        <f t="shared" si="6"/>
        <v>25-10938-001</v>
      </c>
      <c r="D50" s="3">
        <f t="shared" si="7"/>
        <v>0.05</v>
      </c>
      <c r="E50" s="3">
        <f t="shared" ref="E50" si="13">AI29</f>
        <v>0</v>
      </c>
      <c r="F50" s="3">
        <f t="shared" ref="F50" si="14">AJ29</f>
        <v>0.05</v>
      </c>
      <c r="G50" s="3">
        <f t="shared" ref="G50" si="15">AK29</f>
        <v>0.05</v>
      </c>
      <c r="H50" s="3">
        <f t="shared" ref="H50" si="16">AL29</f>
        <v>0</v>
      </c>
      <c r="I50" s="3">
        <f t="shared" ref="I50" si="17">AM29</f>
        <v>0.05</v>
      </c>
      <c r="AE50" s="65" t="s">
        <v>94</v>
      </c>
      <c r="AF50" s="66" t="s">
        <v>230</v>
      </c>
      <c r="AG50" s="71" t="str">
        <f>'2025NewCourses'!H79</f>
        <v>25-06038-001</v>
      </c>
      <c r="AH50" s="71">
        <f>'2025NewCourses'!L79</f>
        <v>0.25</v>
      </c>
      <c r="AI50" s="71">
        <f>'2025NewCourses'!M79</f>
        <v>0.25</v>
      </c>
      <c r="AJ50" s="71">
        <f>'2025NewCourses'!N79</f>
        <v>0.25</v>
      </c>
      <c r="AK50" s="71">
        <f>'2025NewCourses'!O79</f>
        <v>0.25</v>
      </c>
      <c r="AL50" s="71">
        <f>'2025NewCourses'!P79</f>
        <v>0.25</v>
      </c>
      <c r="AM50" s="72">
        <f>'2025NewCourses'!Q79</f>
        <v>0</v>
      </c>
    </row>
    <row r="51" spans="1:39" x14ac:dyDescent="0.3">
      <c r="A51" t="s">
        <v>319</v>
      </c>
      <c r="D51" s="3">
        <f>SUM(Table39[Max])</f>
        <v>1.6500000000000001</v>
      </c>
      <c r="E51" s="1">
        <f>SUM(Table39[W])</f>
        <v>1.4000000000000001</v>
      </c>
      <c r="F51" s="1">
        <f>SUM(Table39[WW])</f>
        <v>1.55</v>
      </c>
      <c r="G51" s="1">
        <f>SUM(Table39[I])</f>
        <v>1.6500000000000001</v>
      </c>
      <c r="H51" s="1">
        <f>SUM(Table39[D])</f>
        <v>1.2</v>
      </c>
      <c r="I51" s="1">
        <f>SUM(Table39[C])</f>
        <v>0.55000000000000004</v>
      </c>
      <c r="AE51" s="65" t="s">
        <v>95</v>
      </c>
      <c r="AF51" s="66" t="s">
        <v>336</v>
      </c>
      <c r="AG51" s="71" t="str">
        <f>'2025NewCourses'!H80</f>
        <v>25-06696-001</v>
      </c>
      <c r="AH51" s="71">
        <f>'2025NewCourses'!L80</f>
        <v>0.2</v>
      </c>
      <c r="AI51" s="71">
        <f>'2025NewCourses'!M80</f>
        <v>0.1</v>
      </c>
      <c r="AJ51" s="71">
        <f>'2025NewCourses'!N80</f>
        <v>0.1</v>
      </c>
      <c r="AK51" s="71">
        <f>'2025NewCourses'!O80</f>
        <v>0.1</v>
      </c>
      <c r="AL51" s="71">
        <f>'2025NewCourses'!P80</f>
        <v>0.2</v>
      </c>
      <c r="AM51" s="72">
        <f>'2025NewCourses'!Q80</f>
        <v>0.1</v>
      </c>
    </row>
    <row r="52" spans="1:39" x14ac:dyDescent="0.3">
      <c r="AE52" s="65" t="s">
        <v>96</v>
      </c>
      <c r="AF52" s="66" t="s">
        <v>324</v>
      </c>
      <c r="AG52" s="71" t="str">
        <f>'2025NewCourses'!H81</f>
        <v>25-06743-002</v>
      </c>
      <c r="AH52" s="71">
        <f>'2025NewCourses'!L81</f>
        <v>0.3</v>
      </c>
      <c r="AI52" s="71">
        <f>'2025NewCourses'!M81</f>
        <v>0.3</v>
      </c>
      <c r="AJ52" s="71">
        <f>'2025NewCourses'!N81</f>
        <v>0</v>
      </c>
      <c r="AK52" s="71">
        <f>'2025NewCourses'!O81</f>
        <v>0</v>
      </c>
      <c r="AL52" s="71">
        <f>'2025NewCourses'!P81</f>
        <v>0.3</v>
      </c>
      <c r="AM52" s="72">
        <f>'2025NewCourses'!Q81</f>
        <v>0</v>
      </c>
    </row>
    <row r="53" spans="1:39" x14ac:dyDescent="0.3">
      <c r="A53" s="6" t="s">
        <v>2108</v>
      </c>
      <c r="I53" s="63">
        <f>(D67-0.3)*10*20*0.9</f>
        <v>270</v>
      </c>
      <c r="AE53" s="65" t="s">
        <v>97</v>
      </c>
      <c r="AF53" s="66" t="s">
        <v>47</v>
      </c>
      <c r="AG53" s="71" t="str">
        <f>'2025NewCourses'!H82</f>
        <v>25-06039-001</v>
      </c>
      <c r="AH53" s="71">
        <f>'2025NewCourses'!L82</f>
        <v>0.2</v>
      </c>
      <c r="AI53" s="71">
        <f>'2025NewCourses'!M82</f>
        <v>0.2</v>
      </c>
      <c r="AJ53" s="71">
        <f>'2025NewCourses'!N82</f>
        <v>0.2</v>
      </c>
      <c r="AK53" s="71">
        <f>'2025NewCourses'!O82</f>
        <v>0.2</v>
      </c>
      <c r="AL53" s="71">
        <f>'2025NewCourses'!P82</f>
        <v>0.2</v>
      </c>
      <c r="AM53" s="72">
        <f>'2025NewCourses'!Q82</f>
        <v>0.2</v>
      </c>
    </row>
    <row r="54" spans="1:39" x14ac:dyDescent="0.3">
      <c r="A54" t="s">
        <v>1898</v>
      </c>
      <c r="B54" t="s">
        <v>279</v>
      </c>
      <c r="C54" t="s">
        <v>1900</v>
      </c>
      <c r="D54" s="1" t="s">
        <v>1187</v>
      </c>
      <c r="E54" s="1" t="s">
        <v>22</v>
      </c>
      <c r="F54" s="1" t="s">
        <v>23</v>
      </c>
      <c r="G54" s="1" t="s">
        <v>26</v>
      </c>
      <c r="H54" s="1" t="s">
        <v>25</v>
      </c>
      <c r="I54" s="1" t="s">
        <v>24</v>
      </c>
      <c r="AE54" s="65" t="s">
        <v>1882</v>
      </c>
      <c r="AF54" s="70" t="str">
        <f>'2025NewCourses'!C83</f>
        <v>Water Storage Tanks Part 1 - Components</v>
      </c>
      <c r="AG54" s="71" t="str">
        <f>'2025NewCourses'!H83</f>
        <v>25-10976-001</v>
      </c>
      <c r="AH54" s="71">
        <f>'2025NewCourses'!L83</f>
        <v>0.1</v>
      </c>
      <c r="AI54" s="71">
        <f>'2025NewCourses'!M83</f>
        <v>0.1</v>
      </c>
      <c r="AJ54" s="71">
        <f>'2025NewCourses'!N83</f>
        <v>0.1</v>
      </c>
      <c r="AK54" s="71">
        <f>'2025NewCourses'!O83</f>
        <v>0.1</v>
      </c>
      <c r="AL54" s="71">
        <f>'2025NewCourses'!P83</f>
        <v>0.1</v>
      </c>
      <c r="AM54" s="72">
        <f>'2025NewCourses'!Q83</f>
        <v>0</v>
      </c>
    </row>
    <row r="55" spans="1:39" x14ac:dyDescent="0.3">
      <c r="A55" s="62" t="s">
        <v>95</v>
      </c>
      <c r="B55" t="str">
        <f t="shared" ref="B55:I62" si="18">LOOKUP($A55,$AE:$AE,AF:AF)</f>
        <v>Intro to Distribution Systems</v>
      </c>
      <c r="C55" t="str">
        <f t="shared" si="18"/>
        <v>25-06696-001</v>
      </c>
      <c r="D55" s="1">
        <f t="shared" si="18"/>
        <v>0.2</v>
      </c>
      <c r="E55" s="1">
        <f t="shared" si="18"/>
        <v>0.1</v>
      </c>
      <c r="F55" s="1">
        <f t="shared" si="18"/>
        <v>0.1</v>
      </c>
      <c r="G55" s="1">
        <f t="shared" si="18"/>
        <v>0.1</v>
      </c>
      <c r="H55" s="1">
        <f t="shared" si="18"/>
        <v>0.2</v>
      </c>
      <c r="I55" s="1">
        <f t="shared" si="18"/>
        <v>0.1</v>
      </c>
      <c r="AE55" s="65" t="s">
        <v>2023</v>
      </c>
      <c r="AF55" s="70" t="str">
        <f>'2025NewCourses'!C84</f>
        <v>Water Storage Tanks Part 2 - Water Age and Quality</v>
      </c>
      <c r="AG55" s="71" t="str">
        <f>'2025NewCourses'!H84</f>
        <v>25-10977-001</v>
      </c>
      <c r="AH55" s="71">
        <f>'2025NewCourses'!L84</f>
        <v>0.1</v>
      </c>
      <c r="AI55" s="71">
        <f>'2025NewCourses'!M84</f>
        <v>0.1</v>
      </c>
      <c r="AJ55" s="71">
        <f>'2025NewCourses'!N84</f>
        <v>0.1</v>
      </c>
      <c r="AK55" s="71">
        <f>'2025NewCourses'!O84</f>
        <v>0.1</v>
      </c>
      <c r="AL55" s="71">
        <f>'2025NewCourses'!P84</f>
        <v>0.1</v>
      </c>
      <c r="AM55" s="72">
        <f>'2025NewCourses'!Q84</f>
        <v>0</v>
      </c>
    </row>
    <row r="56" spans="1:39" x14ac:dyDescent="0.3">
      <c r="A56" s="62" t="s">
        <v>53</v>
      </c>
      <c r="B56" t="str">
        <f t="shared" si="18"/>
        <v>Pumps</v>
      </c>
      <c r="C56" t="str">
        <f t="shared" si="18"/>
        <v>25-06046-002</v>
      </c>
      <c r="D56" s="1">
        <f t="shared" si="18"/>
        <v>0.2</v>
      </c>
      <c r="E56" s="1">
        <f t="shared" si="18"/>
        <v>0.2</v>
      </c>
      <c r="F56" s="1">
        <f t="shared" si="18"/>
        <v>0.2</v>
      </c>
      <c r="G56" s="1">
        <f t="shared" si="18"/>
        <v>0.2</v>
      </c>
      <c r="H56" s="1">
        <f t="shared" si="18"/>
        <v>0.2</v>
      </c>
      <c r="I56" s="1">
        <f t="shared" si="18"/>
        <v>0.2</v>
      </c>
      <c r="AE56" s="65" t="s">
        <v>2027</v>
      </c>
      <c r="AF56" s="70" t="str">
        <f>'2025NewCourses'!C85</f>
        <v>Water Storage Tanks Part 3 - Inspections</v>
      </c>
      <c r="AG56" s="71" t="str">
        <f>'2025NewCourses'!H85</f>
        <v>25-10978-001</v>
      </c>
      <c r="AH56" s="71">
        <f>'2025NewCourses'!L85</f>
        <v>0.1</v>
      </c>
      <c r="AI56" s="71">
        <f>'2025NewCourses'!M85</f>
        <v>0.1</v>
      </c>
      <c r="AJ56" s="71">
        <f>'2025NewCourses'!N85</f>
        <v>0.1</v>
      </c>
      <c r="AK56" s="71">
        <f>'2025NewCourses'!O85</f>
        <v>0.1</v>
      </c>
      <c r="AL56" s="71">
        <f>'2025NewCourses'!P85</f>
        <v>0.1</v>
      </c>
      <c r="AM56" s="72">
        <f>'2025NewCourses'!Q85</f>
        <v>0</v>
      </c>
    </row>
    <row r="57" spans="1:39" x14ac:dyDescent="0.3">
      <c r="A57" s="62" t="s">
        <v>54</v>
      </c>
      <c r="B57" t="str">
        <f t="shared" si="18"/>
        <v>Hydraulics Basics</v>
      </c>
      <c r="C57" t="str">
        <f t="shared" si="18"/>
        <v>25-05990-001</v>
      </c>
      <c r="D57" s="1">
        <f t="shared" si="18"/>
        <v>0.15</v>
      </c>
      <c r="E57" s="1">
        <f t="shared" si="18"/>
        <v>0.15</v>
      </c>
      <c r="F57" s="1">
        <f t="shared" si="18"/>
        <v>0.15</v>
      </c>
      <c r="G57" s="1">
        <f t="shared" si="18"/>
        <v>0.15</v>
      </c>
      <c r="H57" s="1">
        <f t="shared" si="18"/>
        <v>0.15</v>
      </c>
      <c r="I57" s="1">
        <f t="shared" si="18"/>
        <v>0.15</v>
      </c>
      <c r="AE57" s="65" t="s">
        <v>2028</v>
      </c>
      <c r="AF57" s="66" t="s">
        <v>1896</v>
      </c>
      <c r="AG57" s="71" t="str">
        <f>'2025NewCourses'!H86</f>
        <v>25-10672-001</v>
      </c>
      <c r="AH57" s="71">
        <f>'2025NewCourses'!L86</f>
        <v>0.2</v>
      </c>
      <c r="AI57" s="71">
        <f>'2025NewCourses'!M86</f>
        <v>0</v>
      </c>
      <c r="AJ57" s="71">
        <f>'2025NewCourses'!N86</f>
        <v>0</v>
      </c>
      <c r="AK57" s="71">
        <f>'2025NewCourses'!O86</f>
        <v>0</v>
      </c>
      <c r="AL57" s="71">
        <f>'2025NewCourses'!P86</f>
        <v>0.2</v>
      </c>
      <c r="AM57" s="72">
        <f>'2025NewCourses'!Q86</f>
        <v>0.2</v>
      </c>
    </row>
    <row r="58" spans="1:39" x14ac:dyDescent="0.3">
      <c r="A58" s="62" t="s">
        <v>92</v>
      </c>
      <c r="B58" t="str">
        <f t="shared" si="18"/>
        <v>Water Sources Part 2</v>
      </c>
      <c r="C58" t="str">
        <f t="shared" si="18"/>
        <v>25-06036-001</v>
      </c>
      <c r="D58" s="1">
        <f t="shared" si="18"/>
        <v>0.1</v>
      </c>
      <c r="E58" s="1">
        <f t="shared" si="18"/>
        <v>0.1</v>
      </c>
      <c r="F58" s="1">
        <f t="shared" si="18"/>
        <v>0</v>
      </c>
      <c r="G58" s="1">
        <f t="shared" si="18"/>
        <v>0.1</v>
      </c>
      <c r="H58" s="1">
        <f t="shared" si="18"/>
        <v>0.1</v>
      </c>
      <c r="I58" s="1">
        <f t="shared" si="18"/>
        <v>0</v>
      </c>
      <c r="AE58" s="65" t="s">
        <v>65</v>
      </c>
      <c r="AF58" s="66" t="s">
        <v>15</v>
      </c>
      <c r="AG58" s="71" t="str">
        <f>'2025NewCourses'!H39</f>
        <v>25-06006-001</v>
      </c>
      <c r="AH58" s="71">
        <f>'2025NewCourses'!L39</f>
        <v>0.2</v>
      </c>
      <c r="AI58" s="71">
        <f>'2025NewCourses'!M39</f>
        <v>0</v>
      </c>
      <c r="AJ58" s="71">
        <f>'2025NewCourses'!N39</f>
        <v>0.2</v>
      </c>
      <c r="AK58" s="71">
        <f>'2025NewCourses'!O39</f>
        <v>0.2</v>
      </c>
      <c r="AL58" s="71">
        <f>'2025NewCourses'!P39</f>
        <v>0</v>
      </c>
      <c r="AM58" s="72">
        <f>'2025NewCourses'!Q39</f>
        <v>0</v>
      </c>
    </row>
    <row r="59" spans="1:39" x14ac:dyDescent="0.3">
      <c r="A59" s="62" t="s">
        <v>1052</v>
      </c>
      <c r="B59" t="str">
        <f t="shared" si="18"/>
        <v>Backflow Preventers</v>
      </c>
      <c r="C59" t="str">
        <f t="shared" si="18"/>
        <v>25-08959-001</v>
      </c>
      <c r="D59" s="1">
        <f t="shared" si="18"/>
        <v>0.05</v>
      </c>
      <c r="E59" s="1">
        <f t="shared" si="18"/>
        <v>0.05</v>
      </c>
      <c r="F59" s="1">
        <f t="shared" si="18"/>
        <v>0.05</v>
      </c>
      <c r="G59" s="1">
        <f t="shared" si="18"/>
        <v>0.05</v>
      </c>
      <c r="H59" s="1">
        <f t="shared" si="18"/>
        <v>0.05</v>
      </c>
      <c r="I59" s="1">
        <f t="shared" si="18"/>
        <v>0.05</v>
      </c>
      <c r="AE59" s="65" t="s">
        <v>519</v>
      </c>
      <c r="AF59" s="66" t="s">
        <v>5</v>
      </c>
      <c r="AG59" s="71" t="str">
        <f>'2025NewCourses'!H40</f>
        <v>25-06007-001</v>
      </c>
      <c r="AH59" s="71">
        <f>'2025NewCourses'!L40</f>
        <v>0.15</v>
      </c>
      <c r="AI59" s="71">
        <f>'2025NewCourses'!M40</f>
        <v>0</v>
      </c>
      <c r="AJ59" s="71">
        <f>'2025NewCourses'!N40</f>
        <v>0.15</v>
      </c>
      <c r="AK59" s="71">
        <f>'2025NewCourses'!O40</f>
        <v>0.15</v>
      </c>
      <c r="AL59" s="71">
        <f>'2025NewCourses'!P40</f>
        <v>0</v>
      </c>
      <c r="AM59" s="72">
        <f>'2025NewCourses'!Q40</f>
        <v>0</v>
      </c>
    </row>
    <row r="60" spans="1:39" x14ac:dyDescent="0.3">
      <c r="A60" s="62" t="s">
        <v>526</v>
      </c>
      <c r="B60" t="str">
        <f t="shared" si="18"/>
        <v>Laboratory - Chlorine Residual by DPD</v>
      </c>
      <c r="C60" t="str">
        <f t="shared" si="18"/>
        <v>25-07709-001</v>
      </c>
      <c r="D60" s="1">
        <f t="shared" si="18"/>
        <v>0.05</v>
      </c>
      <c r="E60" s="1">
        <f t="shared" si="18"/>
        <v>0.05</v>
      </c>
      <c r="F60" s="1">
        <f t="shared" si="18"/>
        <v>0.05</v>
      </c>
      <c r="G60" s="1">
        <f t="shared" si="18"/>
        <v>0.05</v>
      </c>
      <c r="H60" s="1">
        <f t="shared" si="18"/>
        <v>0.05</v>
      </c>
      <c r="I60" s="1">
        <f t="shared" si="18"/>
        <v>0</v>
      </c>
      <c r="AE60" s="65" t="s">
        <v>66</v>
      </c>
      <c r="AF60" s="66" t="s">
        <v>1428</v>
      </c>
      <c r="AG60" s="71" t="str">
        <f>'2025NewCourses'!H41</f>
        <v>25-09381-001</v>
      </c>
      <c r="AH60" s="71">
        <f>'2025NewCourses'!L41</f>
        <v>0.1</v>
      </c>
      <c r="AI60" s="71">
        <f>'2025NewCourses'!M41</f>
        <v>0.05</v>
      </c>
      <c r="AJ60" s="71">
        <f>'2025NewCourses'!N41</f>
        <v>0.1</v>
      </c>
      <c r="AK60" s="71">
        <f>'2025NewCourses'!O41</f>
        <v>0.1</v>
      </c>
      <c r="AL60" s="71">
        <f>'2025NewCourses'!P41</f>
        <v>0</v>
      </c>
      <c r="AM60" s="72">
        <f>'2025NewCourses'!Q41</f>
        <v>0.05</v>
      </c>
    </row>
    <row r="61" spans="1:39" x14ac:dyDescent="0.3">
      <c r="A61" s="62" t="str">
        <f>AE49</f>
        <v>WATER-004</v>
      </c>
      <c r="B61" t="str">
        <f t="shared" si="18"/>
        <v>Drinking Water Treatment Part 1</v>
      </c>
      <c r="C61" t="str">
        <f t="shared" si="18"/>
        <v>25-06037-001</v>
      </c>
      <c r="D61" s="1">
        <f t="shared" si="18"/>
        <v>0.25</v>
      </c>
      <c r="E61" s="1">
        <f t="shared" si="18"/>
        <v>0.25</v>
      </c>
      <c r="F61" s="1">
        <f t="shared" si="18"/>
        <v>0</v>
      </c>
      <c r="G61" s="1">
        <f t="shared" si="18"/>
        <v>0</v>
      </c>
      <c r="H61" s="1">
        <f t="shared" si="18"/>
        <v>0</v>
      </c>
      <c r="I61" s="1">
        <f t="shared" si="18"/>
        <v>0</v>
      </c>
      <c r="AE61" s="65" t="s">
        <v>67</v>
      </c>
      <c r="AF61" s="66" t="s">
        <v>1893</v>
      </c>
      <c r="AG61" s="71" t="str">
        <f>'2025NewCourses'!H42</f>
        <v>25-09382-001</v>
      </c>
      <c r="AH61" s="71">
        <f>'2025NewCourses'!L42</f>
        <v>0.2</v>
      </c>
      <c r="AI61" s="71">
        <f>'2025NewCourses'!M42</f>
        <v>0</v>
      </c>
      <c r="AJ61" s="71">
        <f>'2025NewCourses'!N42</f>
        <v>0.2</v>
      </c>
      <c r="AK61" s="71">
        <f>'2025NewCourses'!O42</f>
        <v>0.2</v>
      </c>
      <c r="AL61" s="71">
        <f>'2025NewCourses'!P42</f>
        <v>0</v>
      </c>
      <c r="AM61" s="72">
        <f>'2025NewCourses'!Q42</f>
        <v>0</v>
      </c>
    </row>
    <row r="62" spans="1:39" x14ac:dyDescent="0.3">
      <c r="A62" s="62" t="s">
        <v>96</v>
      </c>
      <c r="B62" t="str">
        <f t="shared" si="18"/>
        <v>MRT Drinking Water Regulatory Course</v>
      </c>
      <c r="C62" t="str">
        <f t="shared" si="18"/>
        <v>25-06743-002</v>
      </c>
      <c r="D62" s="1">
        <f t="shared" si="18"/>
        <v>0.3</v>
      </c>
      <c r="E62" s="1">
        <f t="shared" si="18"/>
        <v>0.3</v>
      </c>
      <c r="F62" s="1">
        <f t="shared" si="18"/>
        <v>0</v>
      </c>
      <c r="G62" s="1">
        <f t="shared" si="18"/>
        <v>0</v>
      </c>
      <c r="H62" s="1">
        <f t="shared" si="18"/>
        <v>0.3</v>
      </c>
      <c r="I62" s="1">
        <f t="shared" si="18"/>
        <v>0</v>
      </c>
      <c r="AE62" s="65" t="s">
        <v>68</v>
      </c>
      <c r="AF62" s="66" t="s">
        <v>339</v>
      </c>
      <c r="AG62" s="71" t="str">
        <f>'2025NewCourses'!H43</f>
        <v>25-07222-001</v>
      </c>
      <c r="AH62" s="71">
        <f>'2025NewCourses'!L43</f>
        <v>0.15</v>
      </c>
      <c r="AI62" s="71">
        <f>'2025NewCourses'!M43</f>
        <v>0</v>
      </c>
      <c r="AJ62" s="71">
        <f>'2025NewCourses'!N43</f>
        <v>0.15</v>
      </c>
      <c r="AK62" s="71">
        <f>'2025NewCourses'!O43</f>
        <v>0.15</v>
      </c>
      <c r="AL62" s="71">
        <f>'2025NewCourses'!P43</f>
        <v>0</v>
      </c>
      <c r="AM62" s="72">
        <f>'2025NewCourses'!Q43</f>
        <v>0</v>
      </c>
    </row>
    <row r="63" spans="1:39" x14ac:dyDescent="0.3">
      <c r="A63" t="str">
        <f>AE54</f>
        <v>WATER-009</v>
      </c>
      <c r="B63" t="str">
        <f t="shared" ref="B63:B64" si="19">LOOKUP($A63,$AE:$AE,AF:AF)</f>
        <v>Water Storage Tanks Part 1 - Components</v>
      </c>
      <c r="C63" t="str">
        <f t="shared" ref="C63:I63" si="20">LOOKUP($A63,$AE:$AE,AG:AG)</f>
        <v>25-10976-001</v>
      </c>
      <c r="D63" s="1">
        <f t="shared" si="20"/>
        <v>0.1</v>
      </c>
      <c r="E63" s="1">
        <f t="shared" si="20"/>
        <v>0.1</v>
      </c>
      <c r="F63" s="1">
        <f t="shared" si="20"/>
        <v>0.1</v>
      </c>
      <c r="G63" s="1">
        <f t="shared" si="20"/>
        <v>0.1</v>
      </c>
      <c r="H63" s="1">
        <f t="shared" si="20"/>
        <v>0.1</v>
      </c>
      <c r="I63" s="1">
        <f t="shared" si="20"/>
        <v>0</v>
      </c>
      <c r="AE63" s="65" t="s">
        <v>69</v>
      </c>
      <c r="AF63" s="66" t="s">
        <v>41</v>
      </c>
      <c r="AG63" s="71" t="str">
        <f>'2025NewCourses'!H44</f>
        <v>25-06008-001</v>
      </c>
      <c r="AH63" s="71">
        <f>'2025NewCourses'!L44</f>
        <v>0.2</v>
      </c>
      <c r="AI63" s="71">
        <f>'2025NewCourses'!M44</f>
        <v>0</v>
      </c>
      <c r="AJ63" s="71">
        <f>'2025NewCourses'!N44</f>
        <v>0.2</v>
      </c>
      <c r="AK63" s="71">
        <f>'2025NewCourses'!O44</f>
        <v>0.2</v>
      </c>
      <c r="AL63" s="71">
        <f>'2025NewCourses'!P44</f>
        <v>0</v>
      </c>
      <c r="AM63" s="72">
        <f>'2025NewCourses'!Q44</f>
        <v>0</v>
      </c>
    </row>
    <row r="64" spans="1:39" x14ac:dyDescent="0.3">
      <c r="A64" t="str">
        <f>AE50</f>
        <v>WATER-005</v>
      </c>
      <c r="B64" t="str">
        <f t="shared" si="19"/>
        <v>Water Treatment Part 2 (Disinfection, Water Focus)</v>
      </c>
      <c r="C64" t="str">
        <f t="shared" ref="C64:I64" si="21">AG54</f>
        <v>25-10976-001</v>
      </c>
      <c r="D64" s="1">
        <f t="shared" si="21"/>
        <v>0.1</v>
      </c>
      <c r="E64" s="1">
        <f t="shared" si="21"/>
        <v>0.1</v>
      </c>
      <c r="F64" s="1">
        <f t="shared" si="21"/>
        <v>0.1</v>
      </c>
      <c r="G64" s="1">
        <f t="shared" si="21"/>
        <v>0.1</v>
      </c>
      <c r="H64" s="1">
        <f t="shared" si="21"/>
        <v>0.1</v>
      </c>
      <c r="I64" s="1">
        <f t="shared" si="21"/>
        <v>0</v>
      </c>
      <c r="AE64" s="65" t="s">
        <v>2054</v>
      </c>
      <c r="AF64" s="70" t="s">
        <v>2055</v>
      </c>
      <c r="AG64" s="71"/>
      <c r="AH64" s="71"/>
      <c r="AI64" s="71"/>
      <c r="AJ64" s="71"/>
      <c r="AK64" s="71"/>
      <c r="AL64" s="71"/>
      <c r="AM64" s="72"/>
    </row>
    <row r="65" spans="1:39" x14ac:dyDescent="0.3">
      <c r="A65" t="s">
        <v>516</v>
      </c>
      <c r="B65" t="str">
        <f t="shared" ref="B65:I66" si="22">LOOKUP($A65,$AE:$AE,AF:AF)</f>
        <v>Maintenance</v>
      </c>
      <c r="C65" t="str">
        <f t="shared" si="22"/>
        <v>25-05993-001</v>
      </c>
      <c r="D65" s="1">
        <f t="shared" si="22"/>
        <v>0.15</v>
      </c>
      <c r="E65" s="1">
        <f t="shared" si="22"/>
        <v>0.15</v>
      </c>
      <c r="F65" s="1">
        <f t="shared" si="22"/>
        <v>0.15</v>
      </c>
      <c r="G65" s="1">
        <f t="shared" si="22"/>
        <v>0.15</v>
      </c>
      <c r="H65" s="1">
        <f t="shared" si="22"/>
        <v>0.15</v>
      </c>
      <c r="I65" s="1">
        <f t="shared" si="22"/>
        <v>0.15</v>
      </c>
      <c r="AE65" s="65" t="s">
        <v>70</v>
      </c>
      <c r="AF65" s="66" t="s">
        <v>152</v>
      </c>
      <c r="AG65" s="71" t="str">
        <f>'2025NewCourses'!H45</f>
        <v>25-06009-001</v>
      </c>
      <c r="AH65" s="71">
        <f>'2025NewCourses'!L45</f>
        <v>0.25</v>
      </c>
      <c r="AI65" s="71">
        <f>'2025NewCourses'!M45</f>
        <v>0</v>
      </c>
      <c r="AJ65" s="71">
        <f>'2025NewCourses'!N45</f>
        <v>0.25</v>
      </c>
      <c r="AK65" s="71">
        <f>'2025NewCourses'!O45</f>
        <v>0.25</v>
      </c>
      <c r="AL65" s="71">
        <f>'2025NewCourses'!P45</f>
        <v>0</v>
      </c>
      <c r="AM65" s="72">
        <f>'2025NewCourses'!Q45</f>
        <v>0</v>
      </c>
    </row>
    <row r="66" spans="1:39" x14ac:dyDescent="0.3">
      <c r="A66" t="s">
        <v>108</v>
      </c>
      <c r="B66" t="str">
        <f t="shared" si="22"/>
        <v>Electrical Fundamentals</v>
      </c>
      <c r="C66" t="str">
        <f t="shared" si="22"/>
        <v>25-05994-001</v>
      </c>
      <c r="D66" s="1">
        <f t="shared" si="22"/>
        <v>0.15</v>
      </c>
      <c r="E66" s="1">
        <f t="shared" si="22"/>
        <v>0.15</v>
      </c>
      <c r="F66" s="1">
        <f t="shared" si="22"/>
        <v>0.15</v>
      </c>
      <c r="G66" s="1">
        <f t="shared" si="22"/>
        <v>0.15</v>
      </c>
      <c r="H66" s="1">
        <f t="shared" si="22"/>
        <v>0.15</v>
      </c>
      <c r="I66" s="1">
        <f t="shared" si="22"/>
        <v>0.15</v>
      </c>
      <c r="AE66" s="65" t="s">
        <v>1749</v>
      </c>
      <c r="AF66" s="66" t="s">
        <v>1750</v>
      </c>
      <c r="AG66" s="71" t="str">
        <f>'2025NewCourses'!H46</f>
        <v>25-10618-001</v>
      </c>
      <c r="AH66" s="71">
        <f>'2025NewCourses'!L46</f>
        <v>0.2</v>
      </c>
      <c r="AI66" s="71">
        <f>'2025NewCourses'!M46</f>
        <v>0</v>
      </c>
      <c r="AJ66" s="71">
        <f>'2025NewCourses'!N46</f>
        <v>0.2</v>
      </c>
      <c r="AK66" s="71">
        <f>'2025NewCourses'!O46</f>
        <v>0.2</v>
      </c>
      <c r="AL66" s="71">
        <f>'2025NewCourses'!P46</f>
        <v>0</v>
      </c>
      <c r="AM66" s="72">
        <f>'2025NewCourses'!Q46</f>
        <v>0</v>
      </c>
    </row>
    <row r="67" spans="1:39" x14ac:dyDescent="0.3">
      <c r="A67" t="s">
        <v>319</v>
      </c>
      <c r="D67" s="1">
        <f>SUM(Table3910[Max])</f>
        <v>1.8</v>
      </c>
      <c r="E67" s="1">
        <f>SUM(Table3910[W])</f>
        <v>1.7000000000000002</v>
      </c>
      <c r="F67" s="1">
        <f>SUM(Table3910[WW])</f>
        <v>1.05</v>
      </c>
      <c r="G67" s="1">
        <f>SUM(Table3910[I])</f>
        <v>1.1499999999999999</v>
      </c>
      <c r="H67" s="1">
        <f>SUM(Table3910[D])</f>
        <v>1.55</v>
      </c>
      <c r="I67" s="1">
        <f>SUM(Table3910[C])</f>
        <v>0.80000000000000016</v>
      </c>
      <c r="AE67" s="65" t="s">
        <v>1743</v>
      </c>
      <c r="AF67" s="66" t="s">
        <v>1742</v>
      </c>
      <c r="AG67" s="71" t="str">
        <f>'2025NewCourses'!H47</f>
        <v>25-10616-001</v>
      </c>
      <c r="AH67" s="71">
        <f>'2025NewCourses'!L47</f>
        <v>0.1</v>
      </c>
      <c r="AI67" s="71">
        <f>'2025NewCourses'!M47</f>
        <v>0</v>
      </c>
      <c r="AJ67" s="71">
        <f>'2025NewCourses'!N47</f>
        <v>0.1</v>
      </c>
      <c r="AK67" s="71">
        <f>'2025NewCourses'!O47</f>
        <v>0.1</v>
      </c>
      <c r="AL67" s="71">
        <f>'2025NewCourses'!P47</f>
        <v>0</v>
      </c>
      <c r="AM67" s="72">
        <f>'2025NewCourses'!Q47</f>
        <v>0</v>
      </c>
    </row>
    <row r="68" spans="1:39" x14ac:dyDescent="0.3">
      <c r="AE68" s="65" t="s">
        <v>71</v>
      </c>
      <c r="AF68" s="66" t="s">
        <v>153</v>
      </c>
      <c r="AG68" s="71" t="str">
        <f>'2025NewCourses'!H48</f>
        <v>25-06010-001</v>
      </c>
      <c r="AH68" s="71">
        <f>'2025NewCourses'!L48</f>
        <v>0.2</v>
      </c>
      <c r="AI68" s="71">
        <f>'2025NewCourses'!M48</f>
        <v>0</v>
      </c>
      <c r="AJ68" s="71">
        <f>'2025NewCourses'!N48</f>
        <v>0.2</v>
      </c>
      <c r="AK68" s="71">
        <f>'2025NewCourses'!O48</f>
        <v>0.2</v>
      </c>
      <c r="AL68" s="71">
        <f>'2025NewCourses'!P48</f>
        <v>0</v>
      </c>
      <c r="AM68" s="72">
        <f>'2025NewCourses'!Q48</f>
        <v>0</v>
      </c>
    </row>
    <row r="69" spans="1:39" x14ac:dyDescent="0.3">
      <c r="A69" s="6" t="s">
        <v>2109</v>
      </c>
      <c r="I69" s="63">
        <f>(D77-0.3)*10*20*0.9</f>
        <v>180</v>
      </c>
      <c r="AE69" s="65" t="s">
        <v>72</v>
      </c>
      <c r="AF69" s="66" t="s">
        <v>4</v>
      </c>
      <c r="AG69" s="71" t="str">
        <f>'2025NewCourses'!H49</f>
        <v>25-06011-002</v>
      </c>
      <c r="AH69" s="71">
        <f>'2025NewCourses'!L49</f>
        <v>0.3</v>
      </c>
      <c r="AI69" s="71">
        <f>'2025NewCourses'!M49</f>
        <v>0</v>
      </c>
      <c r="AJ69" s="71">
        <f>'2025NewCourses'!N49</f>
        <v>0.3</v>
      </c>
      <c r="AK69" s="71">
        <f>'2025NewCourses'!O49</f>
        <v>0.3</v>
      </c>
      <c r="AL69" s="71">
        <f>'2025NewCourses'!P49</f>
        <v>0</v>
      </c>
      <c r="AM69" s="72">
        <f>'2025NewCourses'!Q49</f>
        <v>0</v>
      </c>
    </row>
    <row r="70" spans="1:39" x14ac:dyDescent="0.3">
      <c r="A70" t="s">
        <v>1898</v>
      </c>
      <c r="B70" t="s">
        <v>279</v>
      </c>
      <c r="C70" t="s">
        <v>1900</v>
      </c>
      <c r="D70" s="1" t="s">
        <v>1187</v>
      </c>
      <c r="E70" s="1" t="s">
        <v>22</v>
      </c>
      <c r="F70" s="1" t="s">
        <v>23</v>
      </c>
      <c r="G70" s="1" t="s">
        <v>26</v>
      </c>
      <c r="H70" s="1" t="s">
        <v>25</v>
      </c>
      <c r="I70" s="1" t="s">
        <v>24</v>
      </c>
      <c r="AE70" s="65" t="s">
        <v>73</v>
      </c>
      <c r="AF70" s="66" t="s">
        <v>42</v>
      </c>
      <c r="AG70" s="71" t="str">
        <f>'2025NewCourses'!H50</f>
        <v>25-06012-001</v>
      </c>
      <c r="AH70" s="71">
        <f>'2025NewCourses'!L50</f>
        <v>0.2</v>
      </c>
      <c r="AI70" s="71">
        <f>'2025NewCourses'!M50</f>
        <v>0</v>
      </c>
      <c r="AJ70" s="71">
        <f>'2025NewCourses'!N50</f>
        <v>0.2</v>
      </c>
      <c r="AK70" s="71">
        <f>'2025NewCourses'!O50</f>
        <v>0.2</v>
      </c>
      <c r="AL70" s="71">
        <f>'2025NewCourses'!P50</f>
        <v>0</v>
      </c>
      <c r="AM70" s="72">
        <f>'2025NewCourses'!Q50</f>
        <v>0</v>
      </c>
    </row>
    <row r="71" spans="1:39" x14ac:dyDescent="0.3">
      <c r="A71" s="62" t="s">
        <v>53</v>
      </c>
      <c r="B71" t="str">
        <f t="shared" ref="B71:I76" si="23">LOOKUP($A71,$AE:$AE,AF:AF)</f>
        <v>Pumps</v>
      </c>
      <c r="C71" t="str">
        <f t="shared" si="23"/>
        <v>25-06046-002</v>
      </c>
      <c r="D71" s="1">
        <f t="shared" si="23"/>
        <v>0.2</v>
      </c>
      <c r="E71" s="1">
        <f t="shared" si="23"/>
        <v>0.2</v>
      </c>
      <c r="F71" s="1">
        <f t="shared" si="23"/>
        <v>0.2</v>
      </c>
      <c r="G71" s="1">
        <f t="shared" si="23"/>
        <v>0.2</v>
      </c>
      <c r="H71" s="1">
        <f t="shared" si="23"/>
        <v>0.2</v>
      </c>
      <c r="I71" s="1">
        <f t="shared" si="23"/>
        <v>0.2</v>
      </c>
      <c r="AE71" s="65" t="s">
        <v>74</v>
      </c>
      <c r="AF71" s="66" t="s">
        <v>1897</v>
      </c>
      <c r="AG71" s="71" t="str">
        <f>'2025NewCourses'!H51</f>
        <v>25-07727-001</v>
      </c>
      <c r="AH71" s="71">
        <f>'2025NewCourses'!L51</f>
        <v>0.25</v>
      </c>
      <c r="AI71" s="71">
        <f>'2025NewCourses'!M51</f>
        <v>0</v>
      </c>
      <c r="AJ71" s="71">
        <f>'2025NewCourses'!N51</f>
        <v>0.25</v>
      </c>
      <c r="AK71" s="71">
        <f>'2025NewCourses'!O51</f>
        <v>0.25</v>
      </c>
      <c r="AL71" s="71">
        <f>'2025NewCourses'!P51</f>
        <v>0</v>
      </c>
      <c r="AM71" s="72">
        <f>'2025NewCourses'!Q51</f>
        <v>0</v>
      </c>
    </row>
    <row r="72" spans="1:39" x14ac:dyDescent="0.3">
      <c r="A72" s="62" t="s">
        <v>92</v>
      </c>
      <c r="B72" t="str">
        <f t="shared" si="23"/>
        <v>Water Sources Part 2</v>
      </c>
      <c r="C72" t="str">
        <f t="shared" si="23"/>
        <v>25-06036-001</v>
      </c>
      <c r="D72" s="1">
        <f t="shared" si="23"/>
        <v>0.1</v>
      </c>
      <c r="E72" s="1">
        <f t="shared" si="23"/>
        <v>0.1</v>
      </c>
      <c r="F72" s="1">
        <f t="shared" si="23"/>
        <v>0</v>
      </c>
      <c r="G72" s="1">
        <f t="shared" si="23"/>
        <v>0.1</v>
      </c>
      <c r="H72" s="1">
        <f t="shared" si="23"/>
        <v>0.1</v>
      </c>
      <c r="I72" s="1">
        <f t="shared" si="23"/>
        <v>0</v>
      </c>
      <c r="AE72" s="65" t="s">
        <v>892</v>
      </c>
      <c r="AF72" s="66" t="s">
        <v>891</v>
      </c>
      <c r="AG72" s="71" t="str">
        <f>'2025NewCourses'!H52</f>
        <v>25-08900-001</v>
      </c>
      <c r="AH72" s="71">
        <f>'2025NewCourses'!L52</f>
        <v>0.1</v>
      </c>
      <c r="AI72" s="71">
        <f>'2025NewCourses'!M52</f>
        <v>0</v>
      </c>
      <c r="AJ72" s="71">
        <f>'2025NewCourses'!N52</f>
        <v>0.1</v>
      </c>
      <c r="AK72" s="71">
        <f>'2025NewCourses'!O52</f>
        <v>0.1</v>
      </c>
      <c r="AL72" s="71">
        <f>'2025NewCourses'!P52</f>
        <v>0</v>
      </c>
      <c r="AM72" s="72">
        <f>'2025NewCourses'!Q52</f>
        <v>0</v>
      </c>
    </row>
    <row r="73" spans="1:39" x14ac:dyDescent="0.3">
      <c r="A73" s="62" t="s">
        <v>93</v>
      </c>
      <c r="B73" t="str">
        <f t="shared" si="23"/>
        <v>Drinking Water Treatment Part 1</v>
      </c>
      <c r="C73" t="str">
        <f t="shared" si="23"/>
        <v>25-06037-001</v>
      </c>
      <c r="D73" s="1">
        <f t="shared" si="23"/>
        <v>0.25</v>
      </c>
      <c r="E73" s="1">
        <f t="shared" si="23"/>
        <v>0.25</v>
      </c>
      <c r="F73" s="1">
        <f t="shared" si="23"/>
        <v>0</v>
      </c>
      <c r="G73" s="1">
        <f t="shared" si="23"/>
        <v>0</v>
      </c>
      <c r="H73" s="1">
        <f t="shared" si="23"/>
        <v>0</v>
      </c>
      <c r="I73" s="1">
        <f t="shared" si="23"/>
        <v>0</v>
      </c>
      <c r="AE73" s="65" t="s">
        <v>893</v>
      </c>
      <c r="AF73" s="66" t="s">
        <v>895</v>
      </c>
      <c r="AG73" s="71" t="str">
        <f>'2025NewCourses'!H53</f>
        <v>25-08901-001</v>
      </c>
      <c r="AH73" s="71">
        <f>'2025NewCourses'!L53</f>
        <v>0.1</v>
      </c>
      <c r="AI73" s="71">
        <f>'2025NewCourses'!M53</f>
        <v>0</v>
      </c>
      <c r="AJ73" s="71">
        <f>'2025NewCourses'!N53</f>
        <v>0.1</v>
      </c>
      <c r="AK73" s="71">
        <f>'2025NewCourses'!O53</f>
        <v>0.1</v>
      </c>
      <c r="AL73" s="71">
        <f>'2025NewCourses'!P53</f>
        <v>0</v>
      </c>
      <c r="AM73" s="72">
        <f>'2025NewCourses'!Q53</f>
        <v>0</v>
      </c>
    </row>
    <row r="74" spans="1:39" x14ac:dyDescent="0.3">
      <c r="A74" s="62" t="s">
        <v>94</v>
      </c>
      <c r="B74" t="str">
        <f t="shared" si="23"/>
        <v>Water Treatment Part 2 (Disinfection, Water Focus)</v>
      </c>
      <c r="C74" t="str">
        <f t="shared" si="23"/>
        <v>25-06038-001</v>
      </c>
      <c r="D74" s="1">
        <f t="shared" si="23"/>
        <v>0.25</v>
      </c>
      <c r="E74" s="1">
        <f t="shared" si="23"/>
        <v>0.25</v>
      </c>
      <c r="F74" s="1">
        <f t="shared" si="23"/>
        <v>0.25</v>
      </c>
      <c r="G74" s="1">
        <f t="shared" si="23"/>
        <v>0.25</v>
      </c>
      <c r="H74" s="1">
        <f t="shared" si="23"/>
        <v>0.25</v>
      </c>
      <c r="I74" s="1">
        <f t="shared" si="23"/>
        <v>0</v>
      </c>
      <c r="AE74" s="65" t="s">
        <v>75</v>
      </c>
      <c r="AF74" s="66" t="s">
        <v>897</v>
      </c>
      <c r="AG74" s="71" t="str">
        <f>'2025NewCourses'!H54</f>
        <v>25-08902-001</v>
      </c>
      <c r="AH74" s="71">
        <f>'2025NewCourses'!L54</f>
        <v>0.1</v>
      </c>
      <c r="AI74" s="71">
        <f>'2025NewCourses'!M54</f>
        <v>0</v>
      </c>
      <c r="AJ74" s="71">
        <f>'2025NewCourses'!N54</f>
        <v>0.1</v>
      </c>
      <c r="AK74" s="71">
        <f>'2025NewCourses'!O54</f>
        <v>0.1</v>
      </c>
      <c r="AL74" s="71">
        <f>'2025NewCourses'!P54</f>
        <v>0</v>
      </c>
      <c r="AM74" s="72">
        <f>'2025NewCourses'!Q54</f>
        <v>0</v>
      </c>
    </row>
    <row r="75" spans="1:39" x14ac:dyDescent="0.3">
      <c r="A75" s="62" t="s">
        <v>95</v>
      </c>
      <c r="B75" t="str">
        <f t="shared" si="23"/>
        <v>Intro to Distribution Systems</v>
      </c>
      <c r="C75" t="str">
        <f t="shared" si="23"/>
        <v>25-06696-001</v>
      </c>
      <c r="D75" s="1">
        <f t="shared" si="23"/>
        <v>0.2</v>
      </c>
      <c r="E75" s="1">
        <f t="shared" si="23"/>
        <v>0.1</v>
      </c>
      <c r="F75" s="1">
        <f t="shared" si="23"/>
        <v>0.1</v>
      </c>
      <c r="G75" s="1">
        <f t="shared" si="23"/>
        <v>0.1</v>
      </c>
      <c r="H75" s="1">
        <f t="shared" si="23"/>
        <v>0.2</v>
      </c>
      <c r="I75" s="1">
        <f t="shared" si="23"/>
        <v>0.1</v>
      </c>
      <c r="AE75" s="65" t="s">
        <v>76</v>
      </c>
      <c r="AF75" s="66" t="s">
        <v>6</v>
      </c>
      <c r="AG75" s="71" t="str">
        <f>'2025NewCourses'!H55</f>
        <v>25-06015-001</v>
      </c>
      <c r="AH75" s="71">
        <f>'2025NewCourses'!L55</f>
        <v>0.15</v>
      </c>
      <c r="AI75" s="71">
        <f>'2025NewCourses'!M55</f>
        <v>0</v>
      </c>
      <c r="AJ75" s="71">
        <f>'2025NewCourses'!N55</f>
        <v>0.15</v>
      </c>
      <c r="AK75" s="71">
        <f>'2025NewCourses'!O55</f>
        <v>0.15</v>
      </c>
      <c r="AL75" s="71">
        <f>'2025NewCourses'!P55</f>
        <v>0</v>
      </c>
      <c r="AM75" s="72">
        <f>'2025NewCourses'!Q55</f>
        <v>0</v>
      </c>
    </row>
    <row r="76" spans="1:39" x14ac:dyDescent="0.3">
      <c r="A76" t="s">
        <v>96</v>
      </c>
      <c r="B76" t="str">
        <f t="shared" si="23"/>
        <v>MRT Drinking Water Regulatory Course</v>
      </c>
      <c r="C76" t="str">
        <f t="shared" si="23"/>
        <v>25-06743-002</v>
      </c>
      <c r="D76" s="1">
        <f t="shared" si="23"/>
        <v>0.3</v>
      </c>
      <c r="E76" s="1">
        <f t="shared" si="23"/>
        <v>0.3</v>
      </c>
      <c r="F76" s="1">
        <f t="shared" si="23"/>
        <v>0</v>
      </c>
      <c r="G76" s="1">
        <f t="shared" si="23"/>
        <v>0</v>
      </c>
      <c r="H76" s="1">
        <f t="shared" si="23"/>
        <v>0.3</v>
      </c>
      <c r="I76" s="1">
        <f t="shared" si="23"/>
        <v>0</v>
      </c>
      <c r="AE76" s="65" t="s">
        <v>77</v>
      </c>
      <c r="AF76" s="66" t="s">
        <v>1199</v>
      </c>
      <c r="AG76" s="71">
        <f>'2025NewCourses'!H56</f>
        <v>0</v>
      </c>
      <c r="AH76" s="71">
        <f>'2025NewCourses'!L56</f>
        <v>0</v>
      </c>
      <c r="AI76" s="71">
        <f>'2025NewCourses'!M56</f>
        <v>0</v>
      </c>
      <c r="AJ76" s="71">
        <f>'2025NewCourses'!N56</f>
        <v>0</v>
      </c>
      <c r="AK76" s="71">
        <f>'2025NewCourses'!O56</f>
        <v>0</v>
      </c>
      <c r="AL76" s="71">
        <f>'2025NewCourses'!P56</f>
        <v>0</v>
      </c>
      <c r="AM76" s="72">
        <f>'2025NewCourses'!Q56</f>
        <v>0</v>
      </c>
    </row>
    <row r="77" spans="1:39" x14ac:dyDescent="0.3">
      <c r="A77" t="s">
        <v>319</v>
      </c>
      <c r="D77" s="1">
        <f>SUM(Table391012[Max])</f>
        <v>1.3</v>
      </c>
      <c r="E77" s="1">
        <f>SUM(Table391012[W])</f>
        <v>1.2</v>
      </c>
      <c r="F77" s="1">
        <f>SUM(Table391012[WW])</f>
        <v>0.55000000000000004</v>
      </c>
      <c r="G77" s="1">
        <f>SUM(Table391012[I])</f>
        <v>0.65</v>
      </c>
      <c r="H77" s="1">
        <f>SUM(Table391012[D])</f>
        <v>1.05</v>
      </c>
      <c r="I77" s="1">
        <f>SUM(Table391012[C])</f>
        <v>0.30000000000000004</v>
      </c>
      <c r="AE77" s="65" t="s">
        <v>78</v>
      </c>
      <c r="AF77" s="66" t="s">
        <v>8</v>
      </c>
      <c r="AG77" s="71" t="str">
        <f>'2025NewCourses'!H57</f>
        <v>25-06016-001</v>
      </c>
      <c r="AH77" s="71">
        <f>'2025NewCourses'!L57</f>
        <v>0.3</v>
      </c>
      <c r="AI77" s="71">
        <f>'2025NewCourses'!M57</f>
        <v>0.3</v>
      </c>
      <c r="AJ77" s="71">
        <f>'2025NewCourses'!N57</f>
        <v>0.3</v>
      </c>
      <c r="AK77" s="71">
        <f>'2025NewCourses'!O57</f>
        <v>0.3</v>
      </c>
      <c r="AL77" s="71">
        <f>'2025NewCourses'!P57</f>
        <v>0</v>
      </c>
      <c r="AM77" s="72">
        <f>'2025NewCourses'!Q57</f>
        <v>0</v>
      </c>
    </row>
    <row r="78" spans="1:39" x14ac:dyDescent="0.3">
      <c r="AE78" s="65" t="s">
        <v>79</v>
      </c>
      <c r="AF78" s="66" t="s">
        <v>9</v>
      </c>
      <c r="AG78" s="71" t="str">
        <f>'2025NewCourses'!H58</f>
        <v>25-06017-001</v>
      </c>
      <c r="AH78" s="71">
        <f>'2025NewCourses'!L58</f>
        <v>0.2</v>
      </c>
      <c r="AI78" s="71">
        <f>'2025NewCourses'!M58</f>
        <v>0</v>
      </c>
      <c r="AJ78" s="71">
        <f>'2025NewCourses'!N58</f>
        <v>0.2</v>
      </c>
      <c r="AK78" s="71">
        <f>'2025NewCourses'!O58</f>
        <v>0.2</v>
      </c>
      <c r="AL78" s="71">
        <f>'2025NewCourses'!P58</f>
        <v>0</v>
      </c>
      <c r="AM78" s="72">
        <f>'2025NewCourses'!Q58</f>
        <v>0</v>
      </c>
    </row>
    <row r="79" spans="1:39" x14ac:dyDescent="0.3">
      <c r="A79" s="6" t="s">
        <v>2110</v>
      </c>
      <c r="I79" s="63">
        <f>(D91-0.3)*10*20*0.9</f>
        <v>287.99999999999994</v>
      </c>
      <c r="AE79" s="65" t="s">
        <v>80</v>
      </c>
      <c r="AF79" s="66" t="s">
        <v>154</v>
      </c>
      <c r="AG79" s="71" t="str">
        <f>'2025NewCourses'!H59</f>
        <v>25-06018-001</v>
      </c>
      <c r="AH79" s="71">
        <f>'2025NewCourses'!L59</f>
        <v>0.15</v>
      </c>
      <c r="AI79" s="71">
        <f>'2025NewCourses'!M59</f>
        <v>0.15</v>
      </c>
      <c r="AJ79" s="71">
        <f>'2025NewCourses'!N59</f>
        <v>0.15</v>
      </c>
      <c r="AK79" s="71">
        <f>'2025NewCourses'!O59</f>
        <v>0.15</v>
      </c>
      <c r="AL79" s="71">
        <f>'2025NewCourses'!P59</f>
        <v>0</v>
      </c>
      <c r="AM79" s="72">
        <f>'2025NewCourses'!Q59</f>
        <v>0</v>
      </c>
    </row>
    <row r="80" spans="1:39" x14ac:dyDescent="0.3">
      <c r="A80" t="s">
        <v>1898</v>
      </c>
      <c r="B80" t="s">
        <v>279</v>
      </c>
      <c r="C80" t="s">
        <v>1900</v>
      </c>
      <c r="D80" s="1" t="s">
        <v>1187</v>
      </c>
      <c r="E80" s="1" t="s">
        <v>22</v>
      </c>
      <c r="F80" s="1" t="s">
        <v>23</v>
      </c>
      <c r="G80" s="1" t="s">
        <v>26</v>
      </c>
      <c r="H80" s="1" t="s">
        <v>25</v>
      </c>
      <c r="I80" s="1" t="s">
        <v>24</v>
      </c>
      <c r="AE80" s="65" t="s">
        <v>81</v>
      </c>
      <c r="AF80" s="66" t="s">
        <v>7</v>
      </c>
      <c r="AG80" s="71" t="str">
        <f>'2025NewCourses'!H60</f>
        <v>25-06019-001</v>
      </c>
      <c r="AH80" s="71">
        <f>'2025NewCourses'!L60</f>
        <v>0.25</v>
      </c>
      <c r="AI80" s="71">
        <f>'2025NewCourses'!M60</f>
        <v>0</v>
      </c>
      <c r="AJ80" s="71">
        <f>'2025NewCourses'!N60</f>
        <v>0.25</v>
      </c>
      <c r="AK80" s="71">
        <f>'2025NewCourses'!O60</f>
        <v>0.25</v>
      </c>
      <c r="AL80" s="71">
        <f>'2025NewCourses'!P60</f>
        <v>0</v>
      </c>
      <c r="AM80" s="72">
        <f>'2025NewCourses'!Q60</f>
        <v>0</v>
      </c>
    </row>
    <row r="81" spans="1:39" x14ac:dyDescent="0.3">
      <c r="A81" s="62" t="s">
        <v>53</v>
      </c>
      <c r="B81" t="str">
        <f t="shared" ref="B81:B90" si="24">LOOKUP($A81,$AE:$AE,AF:AF)</f>
        <v>Pumps</v>
      </c>
      <c r="C81" t="str">
        <f t="shared" ref="C81:C90" si="25">LOOKUP($A81,$AE:$AE,AG:AG)</f>
        <v>25-06046-002</v>
      </c>
      <c r="D81" s="1">
        <f t="shared" ref="D81:D90" si="26">LOOKUP($A81,$AE:$AE,AH:AH)</f>
        <v>0.2</v>
      </c>
      <c r="E81" s="1">
        <f t="shared" ref="E81:E90" si="27">LOOKUP($A81,$AE:$AE,AI:AI)</f>
        <v>0.2</v>
      </c>
      <c r="F81" s="1">
        <f t="shared" ref="F81:F90" si="28">LOOKUP($A81,$AE:$AE,AJ:AJ)</f>
        <v>0.2</v>
      </c>
      <c r="G81" s="1">
        <f t="shared" ref="G81:G90" si="29">LOOKUP($A81,$AE:$AE,AK:AK)</f>
        <v>0.2</v>
      </c>
      <c r="H81" s="1">
        <f t="shared" ref="H81:H90" si="30">LOOKUP($A81,$AE:$AE,AL:AL)</f>
        <v>0.2</v>
      </c>
      <c r="I81" s="1">
        <f t="shared" ref="I81:I90" si="31">LOOKUP($A81,$AE:$AE,AM:AM)</f>
        <v>0.2</v>
      </c>
      <c r="AE81" s="65" t="s">
        <v>1904</v>
      </c>
      <c r="AF81" s="66" t="s">
        <v>1431</v>
      </c>
      <c r="AG81" s="71">
        <f>'2025NewCourses'!H61</f>
        <v>0</v>
      </c>
      <c r="AH81" s="71">
        <f>'2025NewCourses'!L61</f>
        <v>0.1</v>
      </c>
      <c r="AI81" s="71">
        <f>'2025NewCourses'!M61</f>
        <v>0.1</v>
      </c>
      <c r="AJ81" s="71">
        <f>'2025NewCourses'!N61</f>
        <v>0.1</v>
      </c>
      <c r="AK81" s="71">
        <f>'2025NewCourses'!O61</f>
        <v>0.1</v>
      </c>
      <c r="AL81" s="71">
        <f>'2025NewCourses'!P61</f>
        <v>0</v>
      </c>
      <c r="AM81" s="72">
        <f>'2025NewCourses'!Q61</f>
        <v>0</v>
      </c>
    </row>
    <row r="82" spans="1:39" x14ac:dyDescent="0.3">
      <c r="A82" s="62" t="s">
        <v>54</v>
      </c>
      <c r="B82" t="str">
        <f t="shared" si="24"/>
        <v>Hydraulics Basics</v>
      </c>
      <c r="C82" t="str">
        <f t="shared" si="25"/>
        <v>25-05990-001</v>
      </c>
      <c r="D82" s="1">
        <f t="shared" si="26"/>
        <v>0.15</v>
      </c>
      <c r="E82" s="1">
        <f t="shared" si="27"/>
        <v>0.15</v>
      </c>
      <c r="F82" s="1">
        <f t="shared" si="28"/>
        <v>0.15</v>
      </c>
      <c r="G82" s="1">
        <f t="shared" si="29"/>
        <v>0.15</v>
      </c>
      <c r="H82" s="1">
        <f t="shared" si="30"/>
        <v>0.15</v>
      </c>
      <c r="I82" s="1">
        <f t="shared" si="31"/>
        <v>0.15</v>
      </c>
      <c r="AE82" s="65" t="s">
        <v>82</v>
      </c>
      <c r="AF82" s="66" t="s">
        <v>2</v>
      </c>
      <c r="AG82" s="71" t="str">
        <f>'2025NewCourses'!H62</f>
        <v>25-06020-001</v>
      </c>
      <c r="AH82" s="71">
        <f>'2025NewCourses'!L62</f>
        <v>0.25</v>
      </c>
      <c r="AI82" s="71">
        <f>'2025NewCourses'!M62</f>
        <v>0.25</v>
      </c>
      <c r="AJ82" s="71">
        <f>'2025NewCourses'!N62</f>
        <v>0.25</v>
      </c>
      <c r="AK82" s="71">
        <f>'2025NewCourses'!O62</f>
        <v>0.25</v>
      </c>
      <c r="AL82" s="71">
        <f>'2025NewCourses'!P62</f>
        <v>0.25</v>
      </c>
      <c r="AM82" s="72">
        <f>'2025NewCourses'!Q62</f>
        <v>0</v>
      </c>
    </row>
    <row r="83" spans="1:39" x14ac:dyDescent="0.3">
      <c r="A83" s="62" t="s">
        <v>57</v>
      </c>
      <c r="B83" t="str">
        <f t="shared" si="24"/>
        <v>Corrosion Control</v>
      </c>
      <c r="C83" t="str">
        <f t="shared" si="25"/>
        <v>25-05992-001</v>
      </c>
      <c r="D83" s="1">
        <f t="shared" si="26"/>
        <v>0.25</v>
      </c>
      <c r="E83" s="1">
        <f t="shared" si="27"/>
        <v>0.25</v>
      </c>
      <c r="F83" s="1">
        <f t="shared" si="28"/>
        <v>0.25</v>
      </c>
      <c r="G83" s="1">
        <f t="shared" si="29"/>
        <v>0.25</v>
      </c>
      <c r="H83" s="1">
        <f t="shared" si="30"/>
        <v>0.25</v>
      </c>
      <c r="I83" s="1">
        <f t="shared" si="31"/>
        <v>0.25</v>
      </c>
      <c r="AE83" s="65" t="s">
        <v>83</v>
      </c>
      <c r="AF83" s="66" t="s">
        <v>1200</v>
      </c>
      <c r="AG83" s="71">
        <f>'2025NewCourses'!H63</f>
        <v>0</v>
      </c>
      <c r="AH83" s="71">
        <f>'2025NewCourses'!L63</f>
        <v>0</v>
      </c>
      <c r="AI83" s="71">
        <f>'2025NewCourses'!M63</f>
        <v>0</v>
      </c>
      <c r="AJ83" s="71">
        <f>'2025NewCourses'!N63</f>
        <v>0</v>
      </c>
      <c r="AK83" s="71">
        <f>'2025NewCourses'!O63</f>
        <v>0</v>
      </c>
      <c r="AL83" s="71">
        <f>'2025NewCourses'!P63</f>
        <v>0</v>
      </c>
      <c r="AM83" s="72">
        <f>'2025NewCourses'!Q63</f>
        <v>0</v>
      </c>
    </row>
    <row r="84" spans="1:39" x14ac:dyDescent="0.3">
      <c r="A84" s="62" t="s">
        <v>517</v>
      </c>
      <c r="B84" t="str">
        <f t="shared" si="24"/>
        <v>Disinfection Byproducts</v>
      </c>
      <c r="C84" t="str">
        <f t="shared" si="25"/>
        <v>25-05996-001</v>
      </c>
      <c r="D84" s="1">
        <f t="shared" si="26"/>
        <v>0.15</v>
      </c>
      <c r="E84" s="1">
        <f t="shared" si="27"/>
        <v>0.15</v>
      </c>
      <c r="F84" s="1">
        <f t="shared" si="28"/>
        <v>0</v>
      </c>
      <c r="G84" s="1">
        <f t="shared" si="29"/>
        <v>0</v>
      </c>
      <c r="H84" s="1">
        <f t="shared" si="30"/>
        <v>0.15</v>
      </c>
      <c r="I84" s="1">
        <f t="shared" si="31"/>
        <v>0</v>
      </c>
      <c r="AE84" s="65" t="s">
        <v>84</v>
      </c>
      <c r="AF84" s="66" t="s">
        <v>12</v>
      </c>
      <c r="AG84" s="71" t="str">
        <f>'2025NewCourses'!H64</f>
        <v>25-06022-002</v>
      </c>
      <c r="AH84" s="71">
        <f>'2025NewCourses'!L64</f>
        <v>0.15</v>
      </c>
      <c r="AI84" s="71">
        <f>'2025NewCourses'!M64</f>
        <v>0</v>
      </c>
      <c r="AJ84" s="71">
        <f>'2025NewCourses'!N64</f>
        <v>0.15</v>
      </c>
      <c r="AK84" s="71">
        <f>'2025NewCourses'!O64</f>
        <v>0</v>
      </c>
      <c r="AL84" s="71">
        <f>'2025NewCourses'!P64</f>
        <v>0</v>
      </c>
      <c r="AM84" s="72">
        <f>'2025NewCourses'!Q64</f>
        <v>0</v>
      </c>
    </row>
    <row r="85" spans="1:39" x14ac:dyDescent="0.3">
      <c r="A85" s="62" t="s">
        <v>526</v>
      </c>
      <c r="B85" t="str">
        <f t="shared" si="24"/>
        <v>Laboratory - Chlorine Residual by DPD</v>
      </c>
      <c r="C85" t="str">
        <f t="shared" si="25"/>
        <v>25-07709-001</v>
      </c>
      <c r="D85" s="1">
        <f t="shared" si="26"/>
        <v>0.05</v>
      </c>
      <c r="E85" s="1">
        <f t="shared" si="27"/>
        <v>0.05</v>
      </c>
      <c r="F85" s="1">
        <f t="shared" si="28"/>
        <v>0.05</v>
      </c>
      <c r="G85" s="1">
        <f t="shared" si="29"/>
        <v>0.05</v>
      </c>
      <c r="H85" s="1">
        <f t="shared" si="30"/>
        <v>0.05</v>
      </c>
      <c r="I85" s="1">
        <f t="shared" si="31"/>
        <v>0</v>
      </c>
      <c r="AE85" s="65" t="s">
        <v>85</v>
      </c>
      <c r="AF85" s="66" t="s">
        <v>10</v>
      </c>
      <c r="AG85" s="71" t="str">
        <f>'2025NewCourses'!H65</f>
        <v>25-06023-001</v>
      </c>
      <c r="AH85" s="71">
        <f>'2025NewCourses'!L65</f>
        <v>0.3</v>
      </c>
      <c r="AI85" s="71">
        <f>'2025NewCourses'!M65</f>
        <v>0</v>
      </c>
      <c r="AJ85" s="71">
        <f>'2025NewCourses'!N65</f>
        <v>0.3</v>
      </c>
      <c r="AK85" s="71">
        <f>'2025NewCourses'!O65</f>
        <v>0.3</v>
      </c>
      <c r="AL85" s="71">
        <f>'2025NewCourses'!P65</f>
        <v>0</v>
      </c>
      <c r="AM85" s="72">
        <f>'2025NewCourses'!Q65</f>
        <v>0</v>
      </c>
    </row>
    <row r="86" spans="1:39" x14ac:dyDescent="0.3">
      <c r="A86" s="62" t="s">
        <v>92</v>
      </c>
      <c r="B86" t="str">
        <f t="shared" si="24"/>
        <v>Water Sources Part 2</v>
      </c>
      <c r="C86" t="str">
        <f t="shared" si="25"/>
        <v>25-06036-001</v>
      </c>
      <c r="D86" s="1">
        <f t="shared" si="26"/>
        <v>0.1</v>
      </c>
      <c r="E86" s="1">
        <f t="shared" si="27"/>
        <v>0.1</v>
      </c>
      <c r="F86" s="1">
        <f t="shared" si="28"/>
        <v>0</v>
      </c>
      <c r="G86" s="1">
        <f t="shared" si="29"/>
        <v>0.1</v>
      </c>
      <c r="H86" s="1">
        <f t="shared" si="30"/>
        <v>0.1</v>
      </c>
      <c r="I86" s="1">
        <f t="shared" si="31"/>
        <v>0</v>
      </c>
      <c r="AE86" s="65" t="s">
        <v>86</v>
      </c>
      <c r="AF86" s="66" t="s">
        <v>11</v>
      </c>
      <c r="AG86" s="71" t="str">
        <f>'2025NewCourses'!H66</f>
        <v>25-06024-001</v>
      </c>
      <c r="AH86" s="71">
        <f>'2025NewCourses'!L66</f>
        <v>0.2</v>
      </c>
      <c r="AI86" s="71">
        <f>'2025NewCourses'!M66</f>
        <v>0.2</v>
      </c>
      <c r="AJ86" s="71">
        <f>'2025NewCourses'!N66</f>
        <v>0.2</v>
      </c>
      <c r="AK86" s="71">
        <f>'2025NewCourses'!O66</f>
        <v>0.2</v>
      </c>
      <c r="AL86" s="71">
        <f>'2025NewCourses'!P66</f>
        <v>0</v>
      </c>
      <c r="AM86" s="72">
        <f>'2025NewCourses'!Q66</f>
        <v>0</v>
      </c>
    </row>
    <row r="87" spans="1:39" x14ac:dyDescent="0.3">
      <c r="A87" s="62" t="s">
        <v>93</v>
      </c>
      <c r="B87" t="str">
        <f t="shared" si="24"/>
        <v>Drinking Water Treatment Part 1</v>
      </c>
      <c r="C87" t="str">
        <f t="shared" si="25"/>
        <v>25-06037-001</v>
      </c>
      <c r="D87" s="1">
        <f t="shared" si="26"/>
        <v>0.25</v>
      </c>
      <c r="E87" s="1">
        <f t="shared" si="27"/>
        <v>0.25</v>
      </c>
      <c r="F87" s="1">
        <f t="shared" si="28"/>
        <v>0</v>
      </c>
      <c r="G87" s="1">
        <f t="shared" si="29"/>
        <v>0</v>
      </c>
      <c r="H87" s="1">
        <f t="shared" si="30"/>
        <v>0</v>
      </c>
      <c r="I87" s="1">
        <f t="shared" si="31"/>
        <v>0</v>
      </c>
      <c r="AE87" s="65" t="s">
        <v>87</v>
      </c>
      <c r="AF87" s="66" t="s">
        <v>155</v>
      </c>
      <c r="AG87" s="71" t="str">
        <f>'2025NewCourses'!H67</f>
        <v>25-06025-001</v>
      </c>
      <c r="AH87" s="71">
        <f>'2025NewCourses'!L67</f>
        <v>0.2</v>
      </c>
      <c r="AI87" s="71">
        <f>'2025NewCourses'!M67</f>
        <v>0.2</v>
      </c>
      <c r="AJ87" s="71">
        <f>'2025NewCourses'!N67</f>
        <v>0.2</v>
      </c>
      <c r="AK87" s="71">
        <f>'2025NewCourses'!O67</f>
        <v>0.2</v>
      </c>
      <c r="AL87" s="71">
        <f>'2025NewCourses'!P67</f>
        <v>0</v>
      </c>
      <c r="AM87" s="72">
        <f>'2025NewCourses'!Q67</f>
        <v>0</v>
      </c>
    </row>
    <row r="88" spans="1:39" x14ac:dyDescent="0.3">
      <c r="A88" s="62" t="s">
        <v>94</v>
      </c>
      <c r="B88" t="str">
        <f t="shared" si="24"/>
        <v>Water Treatment Part 2 (Disinfection, Water Focus)</v>
      </c>
      <c r="C88" t="str">
        <f t="shared" si="25"/>
        <v>25-06038-001</v>
      </c>
      <c r="D88" s="1">
        <f t="shared" si="26"/>
        <v>0.25</v>
      </c>
      <c r="E88" s="1">
        <f t="shared" si="27"/>
        <v>0.25</v>
      </c>
      <c r="F88" s="1">
        <f t="shared" si="28"/>
        <v>0.25</v>
      </c>
      <c r="G88" s="1">
        <f t="shared" si="29"/>
        <v>0.25</v>
      </c>
      <c r="H88" s="1">
        <f t="shared" si="30"/>
        <v>0.25</v>
      </c>
      <c r="I88" s="1">
        <f t="shared" si="31"/>
        <v>0</v>
      </c>
      <c r="AE88" s="65" t="s">
        <v>520</v>
      </c>
      <c r="AF88" s="66" t="s">
        <v>19</v>
      </c>
      <c r="AG88" s="71" t="str">
        <f>'2025NewCourses'!H69</f>
        <v>25-06026-001</v>
      </c>
      <c r="AH88" s="71">
        <f>'2025NewCourses'!L69</f>
        <v>0.2</v>
      </c>
      <c r="AI88" s="71">
        <f>'2025NewCourses'!M69</f>
        <v>0</v>
      </c>
      <c r="AJ88" s="71">
        <f>'2025NewCourses'!N69</f>
        <v>0.2</v>
      </c>
      <c r="AK88" s="71">
        <f>'2025NewCourses'!O69</f>
        <v>0.2</v>
      </c>
      <c r="AL88" s="71">
        <f>'2025NewCourses'!P69</f>
        <v>0</v>
      </c>
      <c r="AM88" s="72">
        <f>'2025NewCourses'!Q69</f>
        <v>0.2</v>
      </c>
    </row>
    <row r="89" spans="1:39" x14ac:dyDescent="0.3">
      <c r="A89" s="62" t="s">
        <v>95</v>
      </c>
      <c r="B89" t="str">
        <f t="shared" si="24"/>
        <v>Intro to Distribution Systems</v>
      </c>
      <c r="C89" t="str">
        <f t="shared" si="25"/>
        <v>25-06696-001</v>
      </c>
      <c r="D89" s="1">
        <f t="shared" si="26"/>
        <v>0.2</v>
      </c>
      <c r="E89" s="1">
        <f t="shared" si="27"/>
        <v>0.1</v>
      </c>
      <c r="F89" s="1">
        <f t="shared" si="28"/>
        <v>0.1</v>
      </c>
      <c r="G89" s="1">
        <f t="shared" si="29"/>
        <v>0.1</v>
      </c>
      <c r="H89" s="1">
        <f t="shared" si="30"/>
        <v>0.2</v>
      </c>
      <c r="I89" s="1">
        <f t="shared" si="31"/>
        <v>0.1</v>
      </c>
      <c r="AE89" s="65" t="s">
        <v>88</v>
      </c>
      <c r="AF89" s="66" t="s">
        <v>156</v>
      </c>
      <c r="AG89" s="71" t="str">
        <f>'2025NewCourses'!H70</f>
        <v>25-06032-001</v>
      </c>
      <c r="AH89" s="71">
        <f>'2025NewCourses'!L70</f>
        <v>0.15</v>
      </c>
      <c r="AI89" s="71">
        <f>'2025NewCourses'!M70</f>
        <v>0.15</v>
      </c>
      <c r="AJ89" s="71">
        <f>'2025NewCourses'!N70</f>
        <v>0.15</v>
      </c>
      <c r="AK89" s="71">
        <f>'2025NewCourses'!O70</f>
        <v>0.15</v>
      </c>
      <c r="AL89" s="71">
        <f>'2025NewCourses'!P70</f>
        <v>0</v>
      </c>
      <c r="AM89" s="72">
        <f>'2025NewCourses'!Q70</f>
        <v>0</v>
      </c>
    </row>
    <row r="90" spans="1:39" x14ac:dyDescent="0.3">
      <c r="A90" t="s">
        <v>96</v>
      </c>
      <c r="B90" t="str">
        <f t="shared" si="24"/>
        <v>MRT Drinking Water Regulatory Course</v>
      </c>
      <c r="C90" t="str">
        <f t="shared" si="25"/>
        <v>25-06743-002</v>
      </c>
      <c r="D90" s="1">
        <f t="shared" si="26"/>
        <v>0.3</v>
      </c>
      <c r="E90" s="1">
        <f t="shared" si="27"/>
        <v>0.3</v>
      </c>
      <c r="F90" s="1">
        <f t="shared" si="28"/>
        <v>0</v>
      </c>
      <c r="G90" s="1">
        <f t="shared" si="29"/>
        <v>0</v>
      </c>
      <c r="H90" s="1">
        <f t="shared" si="30"/>
        <v>0.3</v>
      </c>
      <c r="I90" s="1">
        <f t="shared" si="31"/>
        <v>0</v>
      </c>
      <c r="AE90" s="65" t="s">
        <v>89</v>
      </c>
      <c r="AF90" s="66" t="s">
        <v>1325</v>
      </c>
      <c r="AG90" s="71">
        <f>'2025NewCourses'!H71</f>
        <v>0</v>
      </c>
      <c r="AH90" s="71">
        <f>'2025NewCourses'!L71</f>
        <v>0</v>
      </c>
      <c r="AI90" s="71">
        <f>'2025NewCourses'!M71</f>
        <v>0</v>
      </c>
      <c r="AJ90" s="71">
        <f>'2025NewCourses'!N71</f>
        <v>0</v>
      </c>
      <c r="AK90" s="71">
        <f>'2025NewCourses'!O71</f>
        <v>0</v>
      </c>
      <c r="AL90" s="71">
        <f>'2025NewCourses'!P71</f>
        <v>0</v>
      </c>
      <c r="AM90" s="72">
        <f>'2025NewCourses'!Q71</f>
        <v>0</v>
      </c>
    </row>
    <row r="91" spans="1:39" x14ac:dyDescent="0.3">
      <c r="A91" t="s">
        <v>319</v>
      </c>
      <c r="D91" s="1">
        <f>SUM(Table39101216[Max])</f>
        <v>1.9</v>
      </c>
      <c r="E91" s="1">
        <f>SUM(Table39101216[W])</f>
        <v>1.8</v>
      </c>
      <c r="F91" s="1">
        <f>SUM(Table39101216[WW])</f>
        <v>1</v>
      </c>
      <c r="G91" s="1">
        <f>SUM(Table39101216[I])</f>
        <v>1.1000000000000001</v>
      </c>
      <c r="H91" s="1">
        <f>SUM(Table39101216[D])</f>
        <v>1.65</v>
      </c>
      <c r="I91" s="1">
        <f>SUM(Table39101216[C])</f>
        <v>0.7</v>
      </c>
      <c r="AE91" s="65" t="s">
        <v>164</v>
      </c>
      <c r="AF91" s="66" t="s">
        <v>276</v>
      </c>
      <c r="AG91" s="71" t="str">
        <f>'2025NewCourses'!H72</f>
        <v>25-06033-001</v>
      </c>
      <c r="AH91" s="71">
        <f>'2025NewCourses'!L72</f>
        <v>0.2</v>
      </c>
      <c r="AI91" s="71">
        <f>'2025NewCourses'!M72</f>
        <v>0.2</v>
      </c>
      <c r="AJ91" s="71">
        <f>'2025NewCourses'!N72</f>
        <v>0.2</v>
      </c>
      <c r="AK91" s="71">
        <f>'2025NewCourses'!O72</f>
        <v>0.2</v>
      </c>
      <c r="AL91" s="71">
        <f>'2025NewCourses'!P72</f>
        <v>0</v>
      </c>
      <c r="AM91" s="72">
        <f>'2025NewCourses'!Q72</f>
        <v>0</v>
      </c>
    </row>
    <row r="92" spans="1:39" x14ac:dyDescent="0.3">
      <c r="AE92" s="74" t="s">
        <v>699</v>
      </c>
      <c r="AF92" s="75" t="s">
        <v>337</v>
      </c>
      <c r="AG92" s="80" t="str">
        <f>'2025NewCourses'!H73</f>
        <v>25-06840-002</v>
      </c>
      <c r="AH92" s="80">
        <f>'2025NewCourses'!L73</f>
        <v>0.25</v>
      </c>
      <c r="AI92" s="80">
        <f>'2025NewCourses'!M73</f>
        <v>0</v>
      </c>
      <c r="AJ92" s="80">
        <f>'2025NewCourses'!N73</f>
        <v>0.25</v>
      </c>
      <c r="AK92" s="80">
        <f>'2025NewCourses'!O73</f>
        <v>0.25</v>
      </c>
      <c r="AL92" s="80">
        <f>'2025NewCourses'!P73</f>
        <v>0</v>
      </c>
      <c r="AM92" s="81">
        <f>'2025NewCourses'!Q73</f>
        <v>0.25</v>
      </c>
    </row>
    <row r="93" spans="1:39" x14ac:dyDescent="0.3">
      <c r="A93" s="6" t="s">
        <v>2111</v>
      </c>
      <c r="I93" s="63">
        <f>(D111-0.3)*10*20*0.9</f>
        <v>378.00000000000011</v>
      </c>
      <c r="AE93" s="74" t="s">
        <v>1873</v>
      </c>
      <c r="AF93" s="75" t="s">
        <v>1876</v>
      </c>
      <c r="AG93" s="80" t="str">
        <f>'2025NewCourses'!H68</f>
        <v>25-10671-001</v>
      </c>
      <c r="AH93" s="80">
        <f>'2025NewCourses'!L68</f>
        <v>0.2</v>
      </c>
      <c r="AI93" s="80">
        <f>'2025NewCourses'!M68</f>
        <v>0</v>
      </c>
      <c r="AJ93" s="80">
        <f>'2025NewCourses'!N68</f>
        <v>0.2</v>
      </c>
      <c r="AK93" s="80">
        <f>'2025NewCourses'!O68</f>
        <v>0.2</v>
      </c>
      <c r="AL93" s="80">
        <f>'2025NewCourses'!P68</f>
        <v>0</v>
      </c>
      <c r="AM93" s="81">
        <f>'2025NewCourses'!Q68</f>
        <v>0</v>
      </c>
    </row>
    <row r="94" spans="1:39" x14ac:dyDescent="0.3">
      <c r="A94" t="s">
        <v>1898</v>
      </c>
      <c r="B94" t="s">
        <v>279</v>
      </c>
      <c r="C94" t="s">
        <v>1900</v>
      </c>
      <c r="D94" s="1" t="s">
        <v>1187</v>
      </c>
      <c r="E94" s="1" t="s">
        <v>22</v>
      </c>
      <c r="F94" s="1" t="s">
        <v>23</v>
      </c>
      <c r="G94" s="1" t="s">
        <v>26</v>
      </c>
      <c r="H94" s="1" t="s">
        <v>25</v>
      </c>
      <c r="I94" s="1" t="s">
        <v>24</v>
      </c>
    </row>
    <row r="95" spans="1:39" x14ac:dyDescent="0.3">
      <c r="A95" s="62" t="s">
        <v>53</v>
      </c>
      <c r="B95" t="str">
        <f t="shared" ref="B95:B110" si="32">LOOKUP($A95,$AE:$AE,AF:AF)</f>
        <v>Pumps</v>
      </c>
      <c r="C95" t="str">
        <f t="shared" ref="C95:C110" si="33">LOOKUP($A95,$AE:$AE,AG:AG)</f>
        <v>25-06046-002</v>
      </c>
      <c r="D95" s="1">
        <f t="shared" ref="D95:D110" si="34">LOOKUP($A95,$AE:$AE,AH:AH)</f>
        <v>0.2</v>
      </c>
      <c r="E95" s="1">
        <f t="shared" ref="E95:E110" si="35">LOOKUP($A95,$AE:$AE,AI:AI)</f>
        <v>0.2</v>
      </c>
      <c r="F95" s="1">
        <f t="shared" ref="F95:F110" si="36">LOOKUP($A95,$AE:$AE,AJ:AJ)</f>
        <v>0.2</v>
      </c>
      <c r="G95" s="1">
        <f t="shared" ref="G95:G110" si="37">LOOKUP($A95,$AE:$AE,AK:AK)</f>
        <v>0.2</v>
      </c>
      <c r="H95" s="1">
        <f t="shared" ref="H95:H110" si="38">LOOKUP($A95,$AE:$AE,AL:AL)</f>
        <v>0.2</v>
      </c>
      <c r="I95" s="1">
        <f t="shared" ref="I95:I110" si="39">LOOKUP($A95,$AE:$AE,AM:AM)</f>
        <v>0.2</v>
      </c>
    </row>
    <row r="96" spans="1:39" x14ac:dyDescent="0.3">
      <c r="A96" s="62" t="s">
        <v>54</v>
      </c>
      <c r="B96" t="str">
        <f t="shared" si="32"/>
        <v>Hydraulics Basics</v>
      </c>
      <c r="C96" t="str">
        <f t="shared" si="33"/>
        <v>25-05990-001</v>
      </c>
      <c r="D96" s="1">
        <f t="shared" si="34"/>
        <v>0.15</v>
      </c>
      <c r="E96" s="1">
        <f t="shared" si="35"/>
        <v>0.15</v>
      </c>
      <c r="F96" s="1">
        <f t="shared" si="36"/>
        <v>0.15</v>
      </c>
      <c r="G96" s="1">
        <f t="shared" si="37"/>
        <v>0.15</v>
      </c>
      <c r="H96" s="1">
        <f t="shared" si="38"/>
        <v>0.15</v>
      </c>
      <c r="I96" s="1">
        <f t="shared" si="39"/>
        <v>0.15</v>
      </c>
    </row>
    <row r="97" spans="1:9" x14ac:dyDescent="0.3">
      <c r="A97" s="62" t="s">
        <v>57</v>
      </c>
      <c r="B97" t="str">
        <f t="shared" si="32"/>
        <v>Corrosion Control</v>
      </c>
      <c r="C97" t="str">
        <f t="shared" si="33"/>
        <v>25-05992-001</v>
      </c>
      <c r="D97" s="1">
        <f t="shared" si="34"/>
        <v>0.25</v>
      </c>
      <c r="E97" s="1">
        <f t="shared" si="35"/>
        <v>0.25</v>
      </c>
      <c r="F97" s="1">
        <f t="shared" si="36"/>
        <v>0.25</v>
      </c>
      <c r="G97" s="1">
        <f t="shared" si="37"/>
        <v>0.25</v>
      </c>
      <c r="H97" s="1">
        <f t="shared" si="38"/>
        <v>0.25</v>
      </c>
      <c r="I97" s="1">
        <f t="shared" si="39"/>
        <v>0.25</v>
      </c>
    </row>
    <row r="98" spans="1:9" x14ac:dyDescent="0.3">
      <c r="A98" s="62" t="s">
        <v>516</v>
      </c>
      <c r="B98" t="str">
        <f t="shared" si="32"/>
        <v>Maintenance</v>
      </c>
      <c r="C98" t="str">
        <f t="shared" si="33"/>
        <v>25-05993-001</v>
      </c>
      <c r="D98" s="1">
        <f t="shared" si="34"/>
        <v>0.15</v>
      </c>
      <c r="E98" s="1">
        <f t="shared" si="35"/>
        <v>0.15</v>
      </c>
      <c r="F98" s="1">
        <f t="shared" si="36"/>
        <v>0.15</v>
      </c>
      <c r="G98" s="1">
        <f t="shared" si="37"/>
        <v>0.15</v>
      </c>
      <c r="H98" s="1">
        <f t="shared" si="38"/>
        <v>0.15</v>
      </c>
      <c r="I98" s="1">
        <f t="shared" si="39"/>
        <v>0.15</v>
      </c>
    </row>
    <row r="99" spans="1:9" x14ac:dyDescent="0.3">
      <c r="A99" s="62" t="s">
        <v>108</v>
      </c>
      <c r="B99" t="str">
        <f t="shared" si="32"/>
        <v>Electrical Fundamentals</v>
      </c>
      <c r="C99" t="str">
        <f t="shared" si="33"/>
        <v>25-05994-001</v>
      </c>
      <c r="D99" s="1">
        <f t="shared" si="34"/>
        <v>0.15</v>
      </c>
      <c r="E99" s="1">
        <f t="shared" si="35"/>
        <v>0.15</v>
      </c>
      <c r="F99" s="1">
        <f t="shared" si="36"/>
        <v>0.15</v>
      </c>
      <c r="G99" s="1">
        <f t="shared" si="37"/>
        <v>0.15</v>
      </c>
      <c r="H99" s="1">
        <f t="shared" si="38"/>
        <v>0.15</v>
      </c>
      <c r="I99" s="1">
        <f t="shared" si="39"/>
        <v>0.15</v>
      </c>
    </row>
    <row r="100" spans="1:9" x14ac:dyDescent="0.3">
      <c r="A100" s="62" t="s">
        <v>517</v>
      </c>
      <c r="B100" t="str">
        <f t="shared" si="32"/>
        <v>Disinfection Byproducts</v>
      </c>
      <c r="C100" t="str">
        <f t="shared" si="33"/>
        <v>25-05996-001</v>
      </c>
      <c r="D100" s="1">
        <f t="shared" si="34"/>
        <v>0.15</v>
      </c>
      <c r="E100" s="1">
        <f t="shared" si="35"/>
        <v>0.15</v>
      </c>
      <c r="F100" s="1">
        <f t="shared" si="36"/>
        <v>0</v>
      </c>
      <c r="G100" s="1">
        <f t="shared" si="37"/>
        <v>0</v>
      </c>
      <c r="H100" s="1">
        <f t="shared" si="38"/>
        <v>0.15</v>
      </c>
      <c r="I100" s="1">
        <f t="shared" si="39"/>
        <v>0</v>
      </c>
    </row>
    <row r="101" spans="1:9" x14ac:dyDescent="0.3">
      <c r="A101" s="62" t="s">
        <v>1052</v>
      </c>
      <c r="B101" t="str">
        <f t="shared" si="32"/>
        <v>Backflow Preventers</v>
      </c>
      <c r="C101" t="str">
        <f t="shared" si="33"/>
        <v>25-08959-001</v>
      </c>
      <c r="D101" s="1">
        <f t="shared" si="34"/>
        <v>0.05</v>
      </c>
      <c r="E101" s="1">
        <f t="shared" si="35"/>
        <v>0.05</v>
      </c>
      <c r="F101" s="1">
        <f t="shared" si="36"/>
        <v>0.05</v>
      </c>
      <c r="G101" s="1">
        <f t="shared" si="37"/>
        <v>0.05</v>
      </c>
      <c r="H101" s="1">
        <f t="shared" si="38"/>
        <v>0.05</v>
      </c>
      <c r="I101" s="1">
        <f t="shared" si="39"/>
        <v>0.05</v>
      </c>
    </row>
    <row r="102" spans="1:9" x14ac:dyDescent="0.3">
      <c r="A102" s="62" t="s">
        <v>526</v>
      </c>
      <c r="B102" t="str">
        <f t="shared" si="32"/>
        <v>Laboratory - Chlorine Residual by DPD</v>
      </c>
      <c r="C102" t="str">
        <f t="shared" si="33"/>
        <v>25-07709-001</v>
      </c>
      <c r="D102" s="1">
        <f t="shared" si="34"/>
        <v>0.05</v>
      </c>
      <c r="E102" s="1">
        <f t="shared" si="35"/>
        <v>0.05</v>
      </c>
      <c r="F102" s="1">
        <f t="shared" si="36"/>
        <v>0.05</v>
      </c>
      <c r="G102" s="1">
        <f t="shared" si="37"/>
        <v>0.05</v>
      </c>
      <c r="H102" s="1">
        <f t="shared" si="38"/>
        <v>0.05</v>
      </c>
      <c r="I102" s="1">
        <f t="shared" si="39"/>
        <v>0</v>
      </c>
    </row>
    <row r="103" spans="1:9" x14ac:dyDescent="0.3">
      <c r="A103" s="62" t="s">
        <v>529</v>
      </c>
      <c r="B103" t="str">
        <f t="shared" si="32"/>
        <v>Laboratory - Jar Testing</v>
      </c>
      <c r="C103" t="str">
        <f t="shared" si="33"/>
        <v>25-07639-001</v>
      </c>
      <c r="D103" s="1">
        <f t="shared" si="34"/>
        <v>0.1</v>
      </c>
      <c r="E103" s="1">
        <f t="shared" si="35"/>
        <v>0.1</v>
      </c>
      <c r="F103" s="1">
        <f t="shared" si="36"/>
        <v>0.1</v>
      </c>
      <c r="G103" s="1">
        <f t="shared" si="37"/>
        <v>0.1</v>
      </c>
      <c r="H103" s="1">
        <f t="shared" si="38"/>
        <v>0</v>
      </c>
      <c r="I103" s="1">
        <f t="shared" si="39"/>
        <v>0</v>
      </c>
    </row>
    <row r="104" spans="1:9" x14ac:dyDescent="0.3">
      <c r="A104" s="62" t="str">
        <f>AE54</f>
        <v>WATER-009</v>
      </c>
      <c r="B104" t="str">
        <f t="shared" si="32"/>
        <v>Water Storage Tanks Part 1 - Components</v>
      </c>
      <c r="C104" t="str">
        <f t="shared" si="33"/>
        <v>25-10976-001</v>
      </c>
      <c r="D104" s="1">
        <f t="shared" si="34"/>
        <v>0.1</v>
      </c>
      <c r="E104" s="1">
        <f t="shared" si="35"/>
        <v>0.1</v>
      </c>
      <c r="F104" s="1">
        <f t="shared" si="36"/>
        <v>0.1</v>
      </c>
      <c r="G104" s="1">
        <f t="shared" si="37"/>
        <v>0.1</v>
      </c>
      <c r="H104" s="1">
        <f t="shared" si="38"/>
        <v>0.1</v>
      </c>
      <c r="I104" s="1">
        <f t="shared" si="39"/>
        <v>0</v>
      </c>
    </row>
    <row r="105" spans="1:9" x14ac:dyDescent="0.3">
      <c r="A105" s="62" t="str">
        <f>AE55</f>
        <v>WATER-010</v>
      </c>
      <c r="B105" t="str">
        <f t="shared" si="32"/>
        <v>Water Storage Tanks Part 2 - Water Age and Quality</v>
      </c>
      <c r="C105" t="str">
        <f t="shared" si="33"/>
        <v>25-10977-001</v>
      </c>
      <c r="D105" s="1">
        <f t="shared" si="34"/>
        <v>0.1</v>
      </c>
      <c r="E105" s="1">
        <f t="shared" si="35"/>
        <v>0.1</v>
      </c>
      <c r="F105" s="1">
        <f t="shared" si="36"/>
        <v>0.1</v>
      </c>
      <c r="G105" s="1">
        <f t="shared" si="37"/>
        <v>0.1</v>
      </c>
      <c r="H105" s="1">
        <f t="shared" si="38"/>
        <v>0.1</v>
      </c>
      <c r="I105" s="1">
        <f t="shared" si="39"/>
        <v>0</v>
      </c>
    </row>
    <row r="106" spans="1:9" x14ac:dyDescent="0.3">
      <c r="A106" s="62" t="str">
        <f>AE56</f>
        <v>WATER-011</v>
      </c>
      <c r="B106" t="str">
        <f t="shared" si="32"/>
        <v>Water Storage Tanks Part 3 - Inspections</v>
      </c>
      <c r="C106" t="str">
        <f t="shared" si="33"/>
        <v>25-10978-001</v>
      </c>
      <c r="D106" s="1">
        <f t="shared" si="34"/>
        <v>0.1</v>
      </c>
      <c r="E106" s="1">
        <f t="shared" si="35"/>
        <v>0.1</v>
      </c>
      <c r="F106" s="1">
        <f t="shared" si="36"/>
        <v>0.1</v>
      </c>
      <c r="G106" s="1">
        <f t="shared" si="37"/>
        <v>0.1</v>
      </c>
      <c r="H106" s="1">
        <f t="shared" si="38"/>
        <v>0.1</v>
      </c>
      <c r="I106" s="1">
        <f t="shared" si="39"/>
        <v>0</v>
      </c>
    </row>
    <row r="107" spans="1:9" x14ac:dyDescent="0.3">
      <c r="A107" s="62" t="s">
        <v>93</v>
      </c>
      <c r="B107" t="str">
        <f t="shared" si="32"/>
        <v>Drinking Water Treatment Part 1</v>
      </c>
      <c r="C107" t="str">
        <f t="shared" si="33"/>
        <v>25-06037-001</v>
      </c>
      <c r="D107" s="1">
        <f t="shared" si="34"/>
        <v>0.25</v>
      </c>
      <c r="E107" s="1">
        <f t="shared" si="35"/>
        <v>0.25</v>
      </c>
      <c r="F107" s="1">
        <f t="shared" si="36"/>
        <v>0</v>
      </c>
      <c r="G107" s="1">
        <f t="shared" si="37"/>
        <v>0</v>
      </c>
      <c r="H107" s="1">
        <f t="shared" si="38"/>
        <v>0</v>
      </c>
      <c r="I107" s="1">
        <f t="shared" si="39"/>
        <v>0</v>
      </c>
    </row>
    <row r="108" spans="1:9" x14ac:dyDescent="0.3">
      <c r="A108" s="62" t="s">
        <v>94</v>
      </c>
      <c r="B108" t="str">
        <f t="shared" si="32"/>
        <v>Water Treatment Part 2 (Disinfection, Water Focus)</v>
      </c>
      <c r="C108" t="str">
        <f t="shared" si="33"/>
        <v>25-06038-001</v>
      </c>
      <c r="D108" s="1">
        <f t="shared" si="34"/>
        <v>0.25</v>
      </c>
      <c r="E108" s="1">
        <f t="shared" si="35"/>
        <v>0.25</v>
      </c>
      <c r="F108" s="1">
        <f t="shared" si="36"/>
        <v>0.25</v>
      </c>
      <c r="G108" s="1">
        <f t="shared" si="37"/>
        <v>0.25</v>
      </c>
      <c r="H108" s="1">
        <f t="shared" si="38"/>
        <v>0.25</v>
      </c>
      <c r="I108" s="1">
        <f t="shared" si="39"/>
        <v>0</v>
      </c>
    </row>
    <row r="109" spans="1:9" x14ac:dyDescent="0.3">
      <c r="A109" s="62" t="str">
        <f>AE35</f>
        <v>MATH-003</v>
      </c>
      <c r="B109" t="str">
        <f t="shared" si="32"/>
        <v>Chemical Dosing</v>
      </c>
      <c r="C109" t="str">
        <f t="shared" si="33"/>
        <v>25-05986-002</v>
      </c>
      <c r="D109" s="1">
        <f t="shared" si="34"/>
        <v>0.05</v>
      </c>
      <c r="E109" s="1">
        <f t="shared" si="35"/>
        <v>0.05</v>
      </c>
      <c r="F109" s="1">
        <f t="shared" si="36"/>
        <v>0.05</v>
      </c>
      <c r="G109" s="1">
        <f t="shared" si="37"/>
        <v>0.05</v>
      </c>
      <c r="H109" s="1">
        <f t="shared" si="38"/>
        <v>0.05</v>
      </c>
      <c r="I109" s="1">
        <f t="shared" si="39"/>
        <v>0.05</v>
      </c>
    </row>
    <row r="110" spans="1:9" x14ac:dyDescent="0.3">
      <c r="A110" t="s">
        <v>96</v>
      </c>
      <c r="B110" t="str">
        <f t="shared" si="32"/>
        <v>MRT Drinking Water Regulatory Course</v>
      </c>
      <c r="C110" t="str">
        <f t="shared" si="33"/>
        <v>25-06743-002</v>
      </c>
      <c r="D110" s="1">
        <f t="shared" si="34"/>
        <v>0.3</v>
      </c>
      <c r="E110" s="1">
        <f t="shared" si="35"/>
        <v>0.3</v>
      </c>
      <c r="F110" s="1">
        <f t="shared" si="36"/>
        <v>0</v>
      </c>
      <c r="G110" s="1">
        <f t="shared" si="37"/>
        <v>0</v>
      </c>
      <c r="H110" s="1">
        <f t="shared" si="38"/>
        <v>0.3</v>
      </c>
      <c r="I110" s="1">
        <f t="shared" si="39"/>
        <v>0</v>
      </c>
    </row>
    <row r="111" spans="1:9" x14ac:dyDescent="0.3">
      <c r="A111" t="s">
        <v>319</v>
      </c>
      <c r="D111" s="1">
        <f>SUM(Table39101217[Max])</f>
        <v>2.4000000000000004</v>
      </c>
      <c r="E111" s="1">
        <f>SUM(Table39101217[W])</f>
        <v>2.4000000000000004</v>
      </c>
      <c r="F111" s="1">
        <f>SUM(Table39101217[WW])</f>
        <v>1.7000000000000004</v>
      </c>
      <c r="G111" s="1">
        <f>SUM(Table39101217[I])</f>
        <v>1.7000000000000004</v>
      </c>
      <c r="H111" s="1">
        <f>SUM(Table39101217[D])</f>
        <v>2.0500000000000003</v>
      </c>
      <c r="I111" s="1">
        <f>SUM(Table39101217[C])</f>
        <v>1</v>
      </c>
    </row>
    <row r="113" spans="1:9" x14ac:dyDescent="0.3">
      <c r="A113" s="6" t="s">
        <v>2112</v>
      </c>
      <c r="I113" s="63">
        <f>(D133-0.3)*10*20*0.9</f>
        <v>495.00000000000011</v>
      </c>
    </row>
    <row r="114" spans="1:9" x14ac:dyDescent="0.3">
      <c r="A114" t="s">
        <v>1898</v>
      </c>
      <c r="B114" t="s">
        <v>279</v>
      </c>
      <c r="C114" t="s">
        <v>1900</v>
      </c>
      <c r="D114" s="1" t="s">
        <v>1187</v>
      </c>
      <c r="E114" s="1" t="s">
        <v>22</v>
      </c>
      <c r="F114" s="1" t="s">
        <v>23</v>
      </c>
      <c r="G114" s="1" t="s">
        <v>26</v>
      </c>
      <c r="H114" s="1" t="s">
        <v>25</v>
      </c>
      <c r="I114" s="1" t="s">
        <v>24</v>
      </c>
    </row>
    <row r="115" spans="1:9" x14ac:dyDescent="0.3">
      <c r="A115" s="62" t="s">
        <v>53</v>
      </c>
      <c r="B115" t="str">
        <f t="shared" ref="B115:B132" si="40">LOOKUP($A115,$AE:$AE,AF:AF)</f>
        <v>Pumps</v>
      </c>
      <c r="C115" t="str">
        <f t="shared" ref="C115:C132" si="41">LOOKUP($A115,$AE:$AE,AG:AG)</f>
        <v>25-06046-002</v>
      </c>
      <c r="D115" s="1">
        <f t="shared" ref="D115:D132" si="42">LOOKUP($A115,$AE:$AE,AH:AH)</f>
        <v>0.2</v>
      </c>
      <c r="E115" s="1">
        <f t="shared" ref="E115:E132" si="43">LOOKUP($A115,$AE:$AE,AI:AI)</f>
        <v>0.2</v>
      </c>
      <c r="F115" s="1">
        <f t="shared" ref="F115:F132" si="44">LOOKUP($A115,$AE:$AE,AJ:AJ)</f>
        <v>0.2</v>
      </c>
      <c r="G115" s="1">
        <f t="shared" ref="G115:G132" si="45">LOOKUP($A115,$AE:$AE,AK:AK)</f>
        <v>0.2</v>
      </c>
      <c r="H115" s="1">
        <f t="shared" ref="H115:H132" si="46">LOOKUP($A115,$AE:$AE,AL:AL)</f>
        <v>0.2</v>
      </c>
      <c r="I115" s="1">
        <f t="shared" ref="I115:I132" si="47">LOOKUP($A115,$AE:$AE,AM:AM)</f>
        <v>0.2</v>
      </c>
    </row>
    <row r="116" spans="1:9" x14ac:dyDescent="0.3">
      <c r="A116" s="62" t="s">
        <v>54</v>
      </c>
      <c r="B116" t="str">
        <f t="shared" si="40"/>
        <v>Hydraulics Basics</v>
      </c>
      <c r="C116" t="str">
        <f t="shared" si="41"/>
        <v>25-05990-001</v>
      </c>
      <c r="D116" s="1">
        <f t="shared" si="42"/>
        <v>0.15</v>
      </c>
      <c r="E116" s="1">
        <f t="shared" si="43"/>
        <v>0.15</v>
      </c>
      <c r="F116" s="1">
        <f t="shared" si="44"/>
        <v>0.15</v>
      </c>
      <c r="G116" s="1">
        <f t="shared" si="45"/>
        <v>0.15</v>
      </c>
      <c r="H116" s="1">
        <f t="shared" si="46"/>
        <v>0.15</v>
      </c>
      <c r="I116" s="1">
        <f t="shared" si="47"/>
        <v>0.15</v>
      </c>
    </row>
    <row r="117" spans="1:9" x14ac:dyDescent="0.3">
      <c r="A117" s="62" t="s">
        <v>57</v>
      </c>
      <c r="B117" t="str">
        <f t="shared" si="40"/>
        <v>Corrosion Control</v>
      </c>
      <c r="C117" t="str">
        <f t="shared" si="41"/>
        <v>25-05992-001</v>
      </c>
      <c r="D117" s="1">
        <f t="shared" si="42"/>
        <v>0.25</v>
      </c>
      <c r="E117" s="1">
        <f t="shared" si="43"/>
        <v>0.25</v>
      </c>
      <c r="F117" s="1">
        <f t="shared" si="44"/>
        <v>0.25</v>
      </c>
      <c r="G117" s="1">
        <f t="shared" si="45"/>
        <v>0.25</v>
      </c>
      <c r="H117" s="1">
        <f t="shared" si="46"/>
        <v>0.25</v>
      </c>
      <c r="I117" s="1">
        <f t="shared" si="47"/>
        <v>0.25</v>
      </c>
    </row>
    <row r="118" spans="1:9" x14ac:dyDescent="0.3">
      <c r="A118" s="62" t="s">
        <v>516</v>
      </c>
      <c r="B118" t="str">
        <f t="shared" si="40"/>
        <v>Maintenance</v>
      </c>
      <c r="C118" t="str">
        <f t="shared" si="41"/>
        <v>25-05993-001</v>
      </c>
      <c r="D118" s="1">
        <f t="shared" si="42"/>
        <v>0.15</v>
      </c>
      <c r="E118" s="1">
        <f t="shared" si="43"/>
        <v>0.15</v>
      </c>
      <c r="F118" s="1">
        <f t="shared" si="44"/>
        <v>0.15</v>
      </c>
      <c r="G118" s="1">
        <f t="shared" si="45"/>
        <v>0.15</v>
      </c>
      <c r="H118" s="1">
        <f t="shared" si="46"/>
        <v>0.15</v>
      </c>
      <c r="I118" s="1">
        <f t="shared" si="47"/>
        <v>0.15</v>
      </c>
    </row>
    <row r="119" spans="1:9" x14ac:dyDescent="0.3">
      <c r="A119" s="62" t="s">
        <v>108</v>
      </c>
      <c r="B119" t="str">
        <f t="shared" si="40"/>
        <v>Electrical Fundamentals</v>
      </c>
      <c r="C119" t="str">
        <f t="shared" si="41"/>
        <v>25-05994-001</v>
      </c>
      <c r="D119" s="1">
        <f t="shared" si="42"/>
        <v>0.15</v>
      </c>
      <c r="E119" s="1">
        <f t="shared" si="43"/>
        <v>0.15</v>
      </c>
      <c r="F119" s="1">
        <f t="shared" si="44"/>
        <v>0.15</v>
      </c>
      <c r="G119" s="1">
        <f t="shared" si="45"/>
        <v>0.15</v>
      </c>
      <c r="H119" s="1">
        <f t="shared" si="46"/>
        <v>0.15</v>
      </c>
      <c r="I119" s="1">
        <f t="shared" si="47"/>
        <v>0.15</v>
      </c>
    </row>
    <row r="120" spans="1:9" x14ac:dyDescent="0.3">
      <c r="A120" s="62" t="s">
        <v>517</v>
      </c>
      <c r="B120" t="str">
        <f t="shared" si="40"/>
        <v>Disinfection Byproducts</v>
      </c>
      <c r="C120" t="str">
        <f t="shared" si="41"/>
        <v>25-05996-001</v>
      </c>
      <c r="D120" s="1">
        <f t="shared" si="42"/>
        <v>0.15</v>
      </c>
      <c r="E120" s="1">
        <f t="shared" si="43"/>
        <v>0.15</v>
      </c>
      <c r="F120" s="1">
        <f t="shared" si="44"/>
        <v>0</v>
      </c>
      <c r="G120" s="1">
        <f t="shared" si="45"/>
        <v>0</v>
      </c>
      <c r="H120" s="1">
        <f t="shared" si="46"/>
        <v>0.15</v>
      </c>
      <c r="I120" s="1">
        <f t="shared" si="47"/>
        <v>0</v>
      </c>
    </row>
    <row r="121" spans="1:9" x14ac:dyDescent="0.3">
      <c r="A121" s="62" t="s">
        <v>1052</v>
      </c>
      <c r="B121" t="str">
        <f t="shared" si="40"/>
        <v>Backflow Preventers</v>
      </c>
      <c r="C121" t="str">
        <f t="shared" si="41"/>
        <v>25-08959-001</v>
      </c>
      <c r="D121" s="1">
        <f t="shared" si="42"/>
        <v>0.05</v>
      </c>
      <c r="E121" s="1">
        <f t="shared" si="43"/>
        <v>0.05</v>
      </c>
      <c r="F121" s="1">
        <f t="shared" si="44"/>
        <v>0.05</v>
      </c>
      <c r="G121" s="1">
        <f t="shared" si="45"/>
        <v>0.05</v>
      </c>
      <c r="H121" s="1">
        <f t="shared" si="46"/>
        <v>0.05</v>
      </c>
      <c r="I121" s="1">
        <f t="shared" si="47"/>
        <v>0.05</v>
      </c>
    </row>
    <row r="122" spans="1:9" x14ac:dyDescent="0.3">
      <c r="A122" s="62" t="s">
        <v>522</v>
      </c>
      <c r="B122" t="str">
        <f t="shared" si="40"/>
        <v>Laboratory - pH, Alkalinity, and Hardness</v>
      </c>
      <c r="C122" t="str">
        <f t="shared" si="41"/>
        <v>25-07704-001</v>
      </c>
      <c r="D122" s="1">
        <f t="shared" si="42"/>
        <v>0.2</v>
      </c>
      <c r="E122" s="1">
        <f t="shared" si="43"/>
        <v>0.2</v>
      </c>
      <c r="F122" s="1">
        <f t="shared" si="44"/>
        <v>0.2</v>
      </c>
      <c r="G122" s="1">
        <f t="shared" si="45"/>
        <v>0.2</v>
      </c>
      <c r="H122" s="1">
        <f t="shared" si="46"/>
        <v>0.2</v>
      </c>
      <c r="I122" s="1">
        <f t="shared" si="47"/>
        <v>0.05</v>
      </c>
    </row>
    <row r="123" spans="1:9" x14ac:dyDescent="0.3">
      <c r="A123" s="62" t="s">
        <v>526</v>
      </c>
      <c r="B123" t="str">
        <f t="shared" si="40"/>
        <v>Laboratory - Chlorine Residual by DPD</v>
      </c>
      <c r="C123" t="str">
        <f t="shared" si="41"/>
        <v>25-07709-001</v>
      </c>
      <c r="D123" s="1">
        <f t="shared" si="42"/>
        <v>0.05</v>
      </c>
      <c r="E123" s="1">
        <f t="shared" si="43"/>
        <v>0.05</v>
      </c>
      <c r="F123" s="1">
        <f t="shared" si="44"/>
        <v>0.05</v>
      </c>
      <c r="G123" s="1">
        <f t="shared" si="45"/>
        <v>0.05</v>
      </c>
      <c r="H123" s="1">
        <f t="shared" si="46"/>
        <v>0.05</v>
      </c>
      <c r="I123" s="1">
        <f t="shared" si="47"/>
        <v>0</v>
      </c>
    </row>
    <row r="124" spans="1:9" x14ac:dyDescent="0.3">
      <c r="A124" s="62" t="s">
        <v>529</v>
      </c>
      <c r="B124" t="str">
        <f t="shared" si="40"/>
        <v>Laboratory - Jar Testing</v>
      </c>
      <c r="C124" t="str">
        <f t="shared" si="41"/>
        <v>25-07639-001</v>
      </c>
      <c r="D124" s="1">
        <f t="shared" si="42"/>
        <v>0.1</v>
      </c>
      <c r="E124" s="1">
        <f t="shared" si="43"/>
        <v>0.1</v>
      </c>
      <c r="F124" s="1">
        <f t="shared" si="44"/>
        <v>0.1</v>
      </c>
      <c r="G124" s="1">
        <f t="shared" si="45"/>
        <v>0.1</v>
      </c>
      <c r="H124" s="1">
        <f t="shared" si="46"/>
        <v>0</v>
      </c>
      <c r="I124" s="1">
        <f t="shared" si="47"/>
        <v>0</v>
      </c>
    </row>
    <row r="125" spans="1:9" x14ac:dyDescent="0.3">
      <c r="A125" s="62" t="s">
        <v>63</v>
      </c>
      <c r="B125" t="str">
        <f t="shared" si="40"/>
        <v>Trenching and Shoring</v>
      </c>
      <c r="C125" t="str">
        <f t="shared" si="41"/>
        <v>25-05998-001</v>
      </c>
      <c r="D125" s="1">
        <f t="shared" si="42"/>
        <v>0.25</v>
      </c>
      <c r="E125" s="1">
        <f t="shared" si="43"/>
        <v>0</v>
      </c>
      <c r="F125" s="1">
        <f t="shared" si="44"/>
        <v>0</v>
      </c>
      <c r="G125" s="1">
        <f t="shared" si="45"/>
        <v>0</v>
      </c>
      <c r="H125" s="1">
        <f t="shared" si="46"/>
        <v>0.25</v>
      </c>
      <c r="I125" s="1">
        <f t="shared" si="47"/>
        <v>0.25</v>
      </c>
    </row>
    <row r="126" spans="1:9" x14ac:dyDescent="0.3">
      <c r="A126" s="62" t="str">
        <f>AE56</f>
        <v>WATER-011</v>
      </c>
      <c r="B126" t="str">
        <f t="shared" si="40"/>
        <v>Water Storage Tanks Part 3 - Inspections</v>
      </c>
      <c r="C126" t="str">
        <f t="shared" si="41"/>
        <v>25-10978-001</v>
      </c>
      <c r="D126" s="1">
        <f t="shared" si="42"/>
        <v>0.1</v>
      </c>
      <c r="E126" s="1">
        <f t="shared" si="43"/>
        <v>0.1</v>
      </c>
      <c r="F126" s="1">
        <f t="shared" si="44"/>
        <v>0.1</v>
      </c>
      <c r="G126" s="1">
        <f t="shared" si="45"/>
        <v>0.1</v>
      </c>
      <c r="H126" s="1">
        <f t="shared" si="46"/>
        <v>0.1</v>
      </c>
      <c r="I126" s="1">
        <f t="shared" si="47"/>
        <v>0</v>
      </c>
    </row>
    <row r="127" spans="1:9" x14ac:dyDescent="0.3">
      <c r="A127" s="62" t="s">
        <v>91</v>
      </c>
      <c r="B127" t="str">
        <f t="shared" si="40"/>
        <v>Water Sources Part 1</v>
      </c>
      <c r="C127" t="str">
        <f t="shared" si="41"/>
        <v>25-06035-001</v>
      </c>
      <c r="D127" s="1">
        <f t="shared" si="42"/>
        <v>0.15</v>
      </c>
      <c r="E127" s="1">
        <f t="shared" si="43"/>
        <v>0.15</v>
      </c>
      <c r="F127" s="1">
        <f t="shared" si="44"/>
        <v>0</v>
      </c>
      <c r="G127" s="1">
        <f t="shared" si="45"/>
        <v>0</v>
      </c>
      <c r="H127" s="1">
        <f t="shared" si="46"/>
        <v>0.15</v>
      </c>
      <c r="I127" s="1">
        <f t="shared" si="47"/>
        <v>0</v>
      </c>
    </row>
    <row r="128" spans="1:9" x14ac:dyDescent="0.3">
      <c r="A128" s="62" t="s">
        <v>92</v>
      </c>
      <c r="B128" t="str">
        <f t="shared" si="40"/>
        <v>Water Sources Part 2</v>
      </c>
      <c r="C128" t="str">
        <f t="shared" si="41"/>
        <v>25-06036-001</v>
      </c>
      <c r="D128" s="1">
        <f t="shared" si="42"/>
        <v>0.1</v>
      </c>
      <c r="E128" s="1">
        <f t="shared" si="43"/>
        <v>0.1</v>
      </c>
      <c r="F128" s="1">
        <f t="shared" si="44"/>
        <v>0</v>
      </c>
      <c r="G128" s="1">
        <f t="shared" si="45"/>
        <v>0.1</v>
      </c>
      <c r="H128" s="1">
        <f t="shared" si="46"/>
        <v>0.1</v>
      </c>
      <c r="I128" s="1">
        <f t="shared" si="47"/>
        <v>0</v>
      </c>
    </row>
    <row r="129" spans="1:9" x14ac:dyDescent="0.3">
      <c r="A129" s="62" t="s">
        <v>93</v>
      </c>
      <c r="B129" t="str">
        <f t="shared" si="40"/>
        <v>Drinking Water Treatment Part 1</v>
      </c>
      <c r="C129" t="str">
        <f t="shared" si="41"/>
        <v>25-06037-001</v>
      </c>
      <c r="D129" s="1">
        <f t="shared" si="42"/>
        <v>0.25</v>
      </c>
      <c r="E129" s="1">
        <f t="shared" si="43"/>
        <v>0.25</v>
      </c>
      <c r="F129" s="1">
        <f t="shared" si="44"/>
        <v>0</v>
      </c>
      <c r="G129" s="1">
        <f t="shared" si="45"/>
        <v>0</v>
      </c>
      <c r="H129" s="1">
        <f t="shared" si="46"/>
        <v>0</v>
      </c>
      <c r="I129" s="1">
        <f t="shared" si="47"/>
        <v>0</v>
      </c>
    </row>
    <row r="130" spans="1:9" x14ac:dyDescent="0.3">
      <c r="A130" s="62" t="s">
        <v>94</v>
      </c>
      <c r="B130" t="str">
        <f t="shared" si="40"/>
        <v>Water Treatment Part 2 (Disinfection, Water Focus)</v>
      </c>
      <c r="C130" t="str">
        <f t="shared" si="41"/>
        <v>25-06038-001</v>
      </c>
      <c r="D130" s="1">
        <f t="shared" si="42"/>
        <v>0.25</v>
      </c>
      <c r="E130" s="1">
        <f t="shared" si="43"/>
        <v>0.25</v>
      </c>
      <c r="F130" s="1">
        <f t="shared" si="44"/>
        <v>0.25</v>
      </c>
      <c r="G130" s="1">
        <f t="shared" si="45"/>
        <v>0.25</v>
      </c>
      <c r="H130" s="1">
        <f t="shared" si="46"/>
        <v>0.25</v>
      </c>
      <c r="I130" s="1">
        <f t="shared" si="47"/>
        <v>0</v>
      </c>
    </row>
    <row r="131" spans="1:9" x14ac:dyDescent="0.3">
      <c r="A131" s="62" t="s">
        <v>95</v>
      </c>
      <c r="B131" t="str">
        <f t="shared" si="40"/>
        <v>Intro to Distribution Systems</v>
      </c>
      <c r="C131" t="str">
        <f t="shared" si="41"/>
        <v>25-06696-001</v>
      </c>
      <c r="D131" s="1">
        <f t="shared" si="42"/>
        <v>0.2</v>
      </c>
      <c r="E131" s="1">
        <f t="shared" si="43"/>
        <v>0.1</v>
      </c>
      <c r="F131" s="1">
        <f t="shared" si="44"/>
        <v>0.1</v>
      </c>
      <c r="G131" s="1">
        <f t="shared" si="45"/>
        <v>0.1</v>
      </c>
      <c r="H131" s="1">
        <f t="shared" si="46"/>
        <v>0.2</v>
      </c>
      <c r="I131" s="1">
        <f t="shared" si="47"/>
        <v>0.1</v>
      </c>
    </row>
    <row r="132" spans="1:9" x14ac:dyDescent="0.3">
      <c r="A132" t="s">
        <v>96</v>
      </c>
      <c r="B132" t="str">
        <f t="shared" si="40"/>
        <v>MRT Drinking Water Regulatory Course</v>
      </c>
      <c r="C132" t="str">
        <f t="shared" si="41"/>
        <v>25-06743-002</v>
      </c>
      <c r="D132" s="1">
        <f t="shared" si="42"/>
        <v>0.3</v>
      </c>
      <c r="E132" s="1">
        <f t="shared" si="43"/>
        <v>0.3</v>
      </c>
      <c r="F132" s="1">
        <f t="shared" si="44"/>
        <v>0</v>
      </c>
      <c r="G132" s="1">
        <f t="shared" si="45"/>
        <v>0</v>
      </c>
      <c r="H132" s="1">
        <f t="shared" si="46"/>
        <v>0.3</v>
      </c>
      <c r="I132" s="1">
        <f t="shared" si="47"/>
        <v>0</v>
      </c>
    </row>
    <row r="133" spans="1:9" x14ac:dyDescent="0.3">
      <c r="A133" t="s">
        <v>319</v>
      </c>
      <c r="D133" s="1">
        <f>SUM(Table39101218[Max])</f>
        <v>3.0500000000000003</v>
      </c>
      <c r="E133" s="1">
        <f>SUM(Table39101218[W])</f>
        <v>2.7</v>
      </c>
      <c r="F133" s="1">
        <f>SUM(Table39101218[WW])</f>
        <v>1.7500000000000004</v>
      </c>
      <c r="G133" s="1">
        <f>SUM(Table39101218[I])</f>
        <v>1.8500000000000005</v>
      </c>
      <c r="H133" s="1">
        <f>SUM(Table39101218[D])</f>
        <v>2.7</v>
      </c>
      <c r="I133" s="1">
        <f>SUM(Table39101218[C])</f>
        <v>1.35</v>
      </c>
    </row>
    <row r="135" spans="1:9" x14ac:dyDescent="0.3">
      <c r="A135" s="6" t="s">
        <v>2113</v>
      </c>
      <c r="I135" s="63">
        <f>(D148-0.25)*10*20*0.9</f>
        <v>297</v>
      </c>
    </row>
    <row r="136" spans="1:9" x14ac:dyDescent="0.3">
      <c r="A136" t="s">
        <v>1898</v>
      </c>
      <c r="B136" t="s">
        <v>279</v>
      </c>
      <c r="C136" t="s">
        <v>1900</v>
      </c>
      <c r="D136" s="1" t="s">
        <v>1187</v>
      </c>
      <c r="E136" s="1" t="s">
        <v>22</v>
      </c>
      <c r="F136" s="1" t="s">
        <v>23</v>
      </c>
      <c r="G136" s="1" t="s">
        <v>26</v>
      </c>
      <c r="H136" s="1" t="s">
        <v>25</v>
      </c>
      <c r="I136" s="1" t="s">
        <v>24</v>
      </c>
    </row>
    <row r="137" spans="1:9" x14ac:dyDescent="0.3">
      <c r="A137" s="62" t="s">
        <v>53</v>
      </c>
      <c r="B137" t="str">
        <f t="shared" ref="B137:B147" si="48">LOOKUP($A137,$AE:$AE,AF:AF)</f>
        <v>Pumps</v>
      </c>
      <c r="C137" t="str">
        <f t="shared" ref="C137:C147" si="49">LOOKUP($A137,$AE:$AE,AG:AG)</f>
        <v>25-06046-002</v>
      </c>
      <c r="D137" s="1">
        <f t="shared" ref="D137:D147" si="50">LOOKUP($A137,$AE:$AE,AH:AH)</f>
        <v>0.2</v>
      </c>
      <c r="E137" s="1">
        <f t="shared" ref="E137:E147" si="51">LOOKUP($A137,$AE:$AE,AI:AI)</f>
        <v>0.2</v>
      </c>
      <c r="F137" s="1">
        <f t="shared" ref="F137:F147" si="52">LOOKUP($A137,$AE:$AE,AJ:AJ)</f>
        <v>0.2</v>
      </c>
      <c r="G137" s="1">
        <f t="shared" ref="G137:G147" si="53">LOOKUP($A137,$AE:$AE,AK:AK)</f>
        <v>0.2</v>
      </c>
      <c r="H137" s="1">
        <f t="shared" ref="H137:H147" si="54">LOOKUP($A137,$AE:$AE,AL:AL)</f>
        <v>0.2</v>
      </c>
      <c r="I137" s="1">
        <f t="shared" ref="I137:I147" si="55">LOOKUP($A137,$AE:$AE,AM:AM)</f>
        <v>0.2</v>
      </c>
    </row>
    <row r="138" spans="1:9" x14ac:dyDescent="0.3">
      <c r="A138" s="62" t="s">
        <v>56</v>
      </c>
      <c r="B138" t="str">
        <f t="shared" si="48"/>
        <v>Aeration Systems</v>
      </c>
      <c r="C138" t="str">
        <f t="shared" si="49"/>
        <v>25-09505-001</v>
      </c>
      <c r="D138" s="1">
        <f t="shared" si="50"/>
        <v>0.15</v>
      </c>
      <c r="E138" s="1">
        <f t="shared" si="51"/>
        <v>0.15</v>
      </c>
      <c r="F138" s="1">
        <f t="shared" si="52"/>
        <v>0.15</v>
      </c>
      <c r="G138" s="1">
        <f t="shared" si="53"/>
        <v>0.15</v>
      </c>
      <c r="H138" s="1">
        <f t="shared" si="54"/>
        <v>0</v>
      </c>
      <c r="I138" s="1">
        <f t="shared" si="55"/>
        <v>0</v>
      </c>
    </row>
    <row r="139" spans="1:9" x14ac:dyDescent="0.3">
      <c r="A139" s="62" t="s">
        <v>108</v>
      </c>
      <c r="B139" t="str">
        <f t="shared" si="48"/>
        <v>Electrical Fundamentals</v>
      </c>
      <c r="C139" t="str">
        <f t="shared" si="49"/>
        <v>25-05994-001</v>
      </c>
      <c r="D139" s="1">
        <f t="shared" si="50"/>
        <v>0.15</v>
      </c>
      <c r="E139" s="1">
        <f t="shared" si="51"/>
        <v>0.15</v>
      </c>
      <c r="F139" s="1">
        <f t="shared" si="52"/>
        <v>0.15</v>
      </c>
      <c r="G139" s="1">
        <f t="shared" si="53"/>
        <v>0.15</v>
      </c>
      <c r="H139" s="1">
        <f t="shared" si="54"/>
        <v>0.15</v>
      </c>
      <c r="I139" s="1">
        <f t="shared" si="55"/>
        <v>0.15</v>
      </c>
    </row>
    <row r="140" spans="1:9" x14ac:dyDescent="0.3">
      <c r="A140" s="62" t="s">
        <v>61</v>
      </c>
      <c r="B140" t="str">
        <f t="shared" si="48"/>
        <v>Lift Stations</v>
      </c>
      <c r="C140" t="str">
        <f t="shared" si="49"/>
        <v>25-06003-001</v>
      </c>
      <c r="D140" s="1">
        <f t="shared" si="50"/>
        <v>0.2</v>
      </c>
      <c r="E140" s="1">
        <f t="shared" si="51"/>
        <v>0</v>
      </c>
      <c r="F140" s="1">
        <f t="shared" si="52"/>
        <v>0.2</v>
      </c>
      <c r="G140" s="1">
        <f t="shared" si="53"/>
        <v>0.2</v>
      </c>
      <c r="H140" s="1">
        <f t="shared" si="54"/>
        <v>0</v>
      </c>
      <c r="I140" s="1">
        <f t="shared" si="55"/>
        <v>0.2</v>
      </c>
    </row>
    <row r="141" spans="1:9" x14ac:dyDescent="0.3">
      <c r="A141" s="62" t="s">
        <v>524</v>
      </c>
      <c r="B141" t="str">
        <f t="shared" si="48"/>
        <v>Laboratory - Total Suspended Solids</v>
      </c>
      <c r="C141" t="str">
        <f t="shared" si="49"/>
        <v>25-06028-001</v>
      </c>
      <c r="D141" s="1">
        <f t="shared" si="50"/>
        <v>0.1</v>
      </c>
      <c r="E141" s="1">
        <f t="shared" si="51"/>
        <v>0.1</v>
      </c>
      <c r="F141" s="1">
        <f t="shared" si="52"/>
        <v>0.1</v>
      </c>
      <c r="G141" s="1">
        <f t="shared" si="53"/>
        <v>0.1</v>
      </c>
      <c r="H141" s="1">
        <f t="shared" si="54"/>
        <v>0</v>
      </c>
      <c r="I141" s="1">
        <f t="shared" si="55"/>
        <v>0</v>
      </c>
    </row>
    <row r="142" spans="1:9" x14ac:dyDescent="0.3">
      <c r="A142" s="62" t="s">
        <v>519</v>
      </c>
      <c r="B142" t="str">
        <f t="shared" si="48"/>
        <v>What's In My Wastewater: Definitions and Typical Ratios</v>
      </c>
      <c r="C142" t="str">
        <f t="shared" si="49"/>
        <v>25-06007-001</v>
      </c>
      <c r="D142" s="1">
        <f t="shared" si="50"/>
        <v>0.15</v>
      </c>
      <c r="E142" s="1">
        <f t="shared" si="51"/>
        <v>0</v>
      </c>
      <c r="F142" s="1">
        <f t="shared" si="52"/>
        <v>0.15</v>
      </c>
      <c r="G142" s="1">
        <f t="shared" si="53"/>
        <v>0.15</v>
      </c>
      <c r="H142" s="1">
        <f t="shared" si="54"/>
        <v>0</v>
      </c>
      <c r="I142" s="1">
        <f t="shared" si="55"/>
        <v>0</v>
      </c>
    </row>
    <row r="143" spans="1:9" x14ac:dyDescent="0.3">
      <c r="A143" s="62" t="s">
        <v>66</v>
      </c>
      <c r="B143" t="str">
        <f t="shared" si="48"/>
        <v>Preliminary Treatment</v>
      </c>
      <c r="C143" t="str">
        <f t="shared" si="49"/>
        <v>25-09381-001</v>
      </c>
      <c r="D143" s="1">
        <f t="shared" si="50"/>
        <v>0.1</v>
      </c>
      <c r="E143" s="1">
        <f t="shared" si="51"/>
        <v>0.05</v>
      </c>
      <c r="F143" s="1">
        <f t="shared" si="52"/>
        <v>0.1</v>
      </c>
      <c r="G143" s="1">
        <f t="shared" si="53"/>
        <v>0.1</v>
      </c>
      <c r="H143" s="1">
        <f t="shared" si="54"/>
        <v>0</v>
      </c>
      <c r="I143" s="1">
        <f t="shared" si="55"/>
        <v>0.05</v>
      </c>
    </row>
    <row r="144" spans="1:9" x14ac:dyDescent="0.3">
      <c r="A144" s="62" t="s">
        <v>67</v>
      </c>
      <c r="B144" t="str">
        <f t="shared" si="48"/>
        <v xml:space="preserve">Primary Treatment </v>
      </c>
      <c r="C144" t="str">
        <f t="shared" si="49"/>
        <v>25-09382-001</v>
      </c>
      <c r="D144" s="1">
        <f t="shared" si="50"/>
        <v>0.2</v>
      </c>
      <c r="E144" s="1">
        <f t="shared" si="51"/>
        <v>0</v>
      </c>
      <c r="F144" s="1">
        <f t="shared" si="52"/>
        <v>0.2</v>
      </c>
      <c r="G144" s="1">
        <f t="shared" si="53"/>
        <v>0.2</v>
      </c>
      <c r="H144" s="1">
        <f t="shared" si="54"/>
        <v>0</v>
      </c>
      <c r="I144" s="1">
        <f t="shared" si="55"/>
        <v>0</v>
      </c>
    </row>
    <row r="145" spans="1:9" x14ac:dyDescent="0.3">
      <c r="A145" s="62" t="s">
        <v>69</v>
      </c>
      <c r="B145" t="str">
        <f t="shared" si="48"/>
        <v>Fixed Film: Trickling Filters and RBCs</v>
      </c>
      <c r="C145" t="str">
        <f t="shared" si="49"/>
        <v>25-06008-001</v>
      </c>
      <c r="D145" s="1">
        <f t="shared" si="50"/>
        <v>0.2</v>
      </c>
      <c r="E145" s="1">
        <f t="shared" si="51"/>
        <v>0</v>
      </c>
      <c r="F145" s="1">
        <f t="shared" si="52"/>
        <v>0.2</v>
      </c>
      <c r="G145" s="1">
        <f t="shared" si="53"/>
        <v>0.2</v>
      </c>
      <c r="H145" s="1">
        <f t="shared" si="54"/>
        <v>0</v>
      </c>
      <c r="I145" s="1">
        <f t="shared" si="55"/>
        <v>0</v>
      </c>
    </row>
    <row r="146" spans="1:9" x14ac:dyDescent="0.3">
      <c r="A146" s="62" t="s">
        <v>1749</v>
      </c>
      <c r="B146" t="str">
        <f t="shared" si="48"/>
        <v>Wastewater Treatment Lagoons</v>
      </c>
      <c r="C146" t="str">
        <f t="shared" si="49"/>
        <v>25-10618-001</v>
      </c>
      <c r="D146" s="1">
        <f t="shared" si="50"/>
        <v>0.2</v>
      </c>
      <c r="E146" s="1">
        <f t="shared" si="51"/>
        <v>0</v>
      </c>
      <c r="F146" s="1">
        <f t="shared" si="52"/>
        <v>0.2</v>
      </c>
      <c r="G146" s="1">
        <f t="shared" si="53"/>
        <v>0.2</v>
      </c>
      <c r="H146" s="1">
        <f t="shared" si="54"/>
        <v>0</v>
      </c>
      <c r="I146" s="1">
        <f t="shared" si="55"/>
        <v>0</v>
      </c>
    </row>
    <row r="147" spans="1:9" x14ac:dyDescent="0.3">
      <c r="A147" s="62" t="s">
        <v>699</v>
      </c>
      <c r="B147" t="str">
        <f t="shared" si="48"/>
        <v>MRT for Wastewater Treatment and Collection Systems</v>
      </c>
      <c r="C147" t="str">
        <f t="shared" si="49"/>
        <v>25-06840-002</v>
      </c>
      <c r="D147" s="1">
        <f t="shared" si="50"/>
        <v>0.25</v>
      </c>
      <c r="E147" s="1">
        <f t="shared" si="51"/>
        <v>0</v>
      </c>
      <c r="F147" s="1">
        <f t="shared" si="52"/>
        <v>0.25</v>
      </c>
      <c r="G147" s="1">
        <f t="shared" si="53"/>
        <v>0.25</v>
      </c>
      <c r="H147" s="1">
        <f t="shared" si="54"/>
        <v>0</v>
      </c>
      <c r="I147" s="1">
        <f t="shared" si="55"/>
        <v>0.25</v>
      </c>
    </row>
    <row r="148" spans="1:9" x14ac:dyDescent="0.3">
      <c r="A148" t="s">
        <v>319</v>
      </c>
      <c r="D148" s="1">
        <f>SUM(Table3910121820[Max])</f>
        <v>1.9</v>
      </c>
      <c r="E148" s="1">
        <f>SUM(Table3910121820[W])</f>
        <v>0.65</v>
      </c>
      <c r="F148" s="1">
        <f>SUM(Table3910121820[WW])</f>
        <v>1.9</v>
      </c>
      <c r="G148" s="1">
        <f>SUM(Table3910121820[I])</f>
        <v>1.9</v>
      </c>
      <c r="H148" s="1">
        <f>SUM(Table3910121820[D])</f>
        <v>0.35</v>
      </c>
      <c r="I148" s="1">
        <f>SUM(Table3910121820[C])</f>
        <v>0.85000000000000009</v>
      </c>
    </row>
    <row r="150" spans="1:9" x14ac:dyDescent="0.3">
      <c r="A150" s="6" t="s">
        <v>2114</v>
      </c>
      <c r="I150" s="63">
        <f>(D159-0.25)*10*20*0.9</f>
        <v>189</v>
      </c>
    </row>
    <row r="151" spans="1:9" x14ac:dyDescent="0.3">
      <c r="A151" t="s">
        <v>1898</v>
      </c>
      <c r="B151" t="s">
        <v>279</v>
      </c>
      <c r="C151" t="s">
        <v>1900</v>
      </c>
      <c r="D151" s="1" t="s">
        <v>1187</v>
      </c>
      <c r="E151" s="1" t="s">
        <v>22</v>
      </c>
      <c r="F151" s="1" t="s">
        <v>23</v>
      </c>
      <c r="G151" s="1" t="s">
        <v>26</v>
      </c>
      <c r="H151" s="1" t="s">
        <v>25</v>
      </c>
      <c r="I151" s="1" t="s">
        <v>24</v>
      </c>
    </row>
    <row r="152" spans="1:9" x14ac:dyDescent="0.3">
      <c r="A152" s="62" t="s">
        <v>53</v>
      </c>
      <c r="B152" t="str">
        <f t="shared" ref="B152:I158" si="56">LOOKUP($A152,$AE:$AE,AF:AF)</f>
        <v>Pumps</v>
      </c>
      <c r="C152" t="str">
        <f t="shared" si="56"/>
        <v>25-06046-002</v>
      </c>
      <c r="D152" s="1">
        <f t="shared" si="56"/>
        <v>0.2</v>
      </c>
      <c r="E152" s="1">
        <f t="shared" si="56"/>
        <v>0.2</v>
      </c>
      <c r="F152" s="1">
        <f t="shared" si="56"/>
        <v>0.2</v>
      </c>
      <c r="G152" s="1">
        <f t="shared" si="56"/>
        <v>0.2</v>
      </c>
      <c r="H152" s="1">
        <f t="shared" si="56"/>
        <v>0.2</v>
      </c>
      <c r="I152" s="1">
        <f t="shared" si="56"/>
        <v>0.2</v>
      </c>
    </row>
    <row r="153" spans="1:9" x14ac:dyDescent="0.3">
      <c r="A153" s="62" t="s">
        <v>61</v>
      </c>
      <c r="B153" t="str">
        <f t="shared" si="56"/>
        <v>Lift Stations</v>
      </c>
      <c r="C153" t="str">
        <f t="shared" si="56"/>
        <v>25-06003-001</v>
      </c>
      <c r="D153" s="1">
        <f t="shared" si="56"/>
        <v>0.2</v>
      </c>
      <c r="E153" s="1">
        <f t="shared" si="56"/>
        <v>0</v>
      </c>
      <c r="F153" s="1">
        <f t="shared" si="56"/>
        <v>0.2</v>
      </c>
      <c r="G153" s="1">
        <f t="shared" si="56"/>
        <v>0.2</v>
      </c>
      <c r="H153" s="1">
        <f t="shared" si="56"/>
        <v>0</v>
      </c>
      <c r="I153" s="1">
        <f t="shared" si="56"/>
        <v>0.2</v>
      </c>
    </row>
    <row r="154" spans="1:9" x14ac:dyDescent="0.3">
      <c r="A154" s="62" t="s">
        <v>519</v>
      </c>
      <c r="B154" t="str">
        <f t="shared" si="56"/>
        <v>What's In My Wastewater: Definitions and Typical Ratios</v>
      </c>
      <c r="C154" t="str">
        <f t="shared" si="56"/>
        <v>25-06007-001</v>
      </c>
      <c r="D154" s="1">
        <f t="shared" si="56"/>
        <v>0.15</v>
      </c>
      <c r="E154" s="1">
        <f t="shared" si="56"/>
        <v>0</v>
      </c>
      <c r="F154" s="1">
        <f t="shared" si="56"/>
        <v>0.15</v>
      </c>
      <c r="G154" s="1">
        <f t="shared" si="56"/>
        <v>0.15</v>
      </c>
      <c r="H154" s="1">
        <f t="shared" si="56"/>
        <v>0</v>
      </c>
      <c r="I154" s="1">
        <f t="shared" si="56"/>
        <v>0</v>
      </c>
    </row>
    <row r="155" spans="1:9" x14ac:dyDescent="0.3">
      <c r="A155" s="62" t="s">
        <v>66</v>
      </c>
      <c r="B155" t="str">
        <f t="shared" si="56"/>
        <v>Preliminary Treatment</v>
      </c>
      <c r="C155" t="str">
        <f t="shared" si="56"/>
        <v>25-09381-001</v>
      </c>
      <c r="D155" s="1">
        <f t="shared" si="56"/>
        <v>0.1</v>
      </c>
      <c r="E155" s="1">
        <f t="shared" si="56"/>
        <v>0.05</v>
      </c>
      <c r="F155" s="1">
        <f t="shared" si="56"/>
        <v>0.1</v>
      </c>
      <c r="G155" s="1">
        <f t="shared" si="56"/>
        <v>0.1</v>
      </c>
      <c r="H155" s="1">
        <f t="shared" si="56"/>
        <v>0</v>
      </c>
      <c r="I155" s="1">
        <f t="shared" si="56"/>
        <v>0.05</v>
      </c>
    </row>
    <row r="156" spans="1:9" x14ac:dyDescent="0.3">
      <c r="A156" s="62" t="s">
        <v>69</v>
      </c>
      <c r="B156" t="str">
        <f t="shared" si="56"/>
        <v>Fixed Film: Trickling Filters and RBCs</v>
      </c>
      <c r="C156" t="str">
        <f t="shared" si="56"/>
        <v>25-06008-001</v>
      </c>
      <c r="D156" s="1">
        <f t="shared" si="56"/>
        <v>0.2</v>
      </c>
      <c r="E156" s="1">
        <f t="shared" si="56"/>
        <v>0</v>
      </c>
      <c r="F156" s="1">
        <f t="shared" si="56"/>
        <v>0.2</v>
      </c>
      <c r="G156" s="1">
        <f t="shared" si="56"/>
        <v>0.2</v>
      </c>
      <c r="H156" s="1">
        <f t="shared" si="56"/>
        <v>0</v>
      </c>
      <c r="I156" s="1">
        <f t="shared" si="56"/>
        <v>0</v>
      </c>
    </row>
    <row r="157" spans="1:9" x14ac:dyDescent="0.3">
      <c r="A157" s="62" t="s">
        <v>1749</v>
      </c>
      <c r="B157" t="str">
        <f t="shared" si="56"/>
        <v>Wastewater Treatment Lagoons</v>
      </c>
      <c r="C157" t="str">
        <f t="shared" si="56"/>
        <v>25-10618-001</v>
      </c>
      <c r="D157" s="1">
        <f t="shared" si="56"/>
        <v>0.2</v>
      </c>
      <c r="E157" s="1">
        <f t="shared" si="56"/>
        <v>0</v>
      </c>
      <c r="F157" s="1">
        <f t="shared" si="56"/>
        <v>0.2</v>
      </c>
      <c r="G157" s="1">
        <f t="shared" si="56"/>
        <v>0.2</v>
      </c>
      <c r="H157" s="1">
        <f t="shared" si="56"/>
        <v>0</v>
      </c>
      <c r="I157" s="1">
        <f t="shared" si="56"/>
        <v>0</v>
      </c>
    </row>
    <row r="158" spans="1:9" x14ac:dyDescent="0.3">
      <c r="A158" s="62" t="s">
        <v>699</v>
      </c>
      <c r="B158" t="str">
        <f t="shared" si="56"/>
        <v>MRT for Wastewater Treatment and Collection Systems</v>
      </c>
      <c r="C158" t="str">
        <f t="shared" si="56"/>
        <v>25-06840-002</v>
      </c>
      <c r="D158" s="1">
        <f t="shared" si="56"/>
        <v>0.25</v>
      </c>
      <c r="E158" s="1">
        <f t="shared" si="56"/>
        <v>0</v>
      </c>
      <c r="F158" s="1">
        <f t="shared" si="56"/>
        <v>0.25</v>
      </c>
      <c r="G158" s="1">
        <f t="shared" si="56"/>
        <v>0.25</v>
      </c>
      <c r="H158" s="1">
        <f t="shared" si="56"/>
        <v>0</v>
      </c>
      <c r="I158" s="1">
        <f t="shared" si="56"/>
        <v>0.25</v>
      </c>
    </row>
    <row r="159" spans="1:9" x14ac:dyDescent="0.3">
      <c r="A159" t="s">
        <v>319</v>
      </c>
      <c r="D159" s="1">
        <f>SUM(Table3910121821[Max])</f>
        <v>1.3</v>
      </c>
      <c r="E159" s="1">
        <f>SUM(Table3910121821[W])</f>
        <v>0.25</v>
      </c>
      <c r="F159" s="1">
        <f>SUM(Table3910121821[WW])</f>
        <v>1.3</v>
      </c>
      <c r="G159" s="1">
        <f>SUM(Table3910121821[I])</f>
        <v>1.3</v>
      </c>
      <c r="H159" s="1">
        <f>SUM(Table3910121821[D])</f>
        <v>0.2</v>
      </c>
      <c r="I159" s="1">
        <f>SUM(Table3910121821[C])</f>
        <v>0.7</v>
      </c>
    </row>
    <row r="161" spans="1:19" x14ac:dyDescent="0.3">
      <c r="A161" s="6" t="s">
        <v>2115</v>
      </c>
      <c r="I161" s="63">
        <f>(D174-0.25)*10*20*0.9</f>
        <v>297</v>
      </c>
    </row>
    <row r="162" spans="1:19" x14ac:dyDescent="0.3">
      <c r="A162" t="s">
        <v>1898</v>
      </c>
      <c r="B162" t="s">
        <v>279</v>
      </c>
      <c r="C162" t="s">
        <v>1900</v>
      </c>
      <c r="D162" s="1" t="s">
        <v>1187</v>
      </c>
      <c r="E162" s="1" t="s">
        <v>22</v>
      </c>
      <c r="F162" s="1" t="s">
        <v>23</v>
      </c>
      <c r="G162" s="1" t="s">
        <v>26</v>
      </c>
      <c r="H162" s="1" t="s">
        <v>25</v>
      </c>
      <c r="I162" s="1" t="s">
        <v>24</v>
      </c>
    </row>
    <row r="163" spans="1:19" x14ac:dyDescent="0.3">
      <c r="A163" s="62" t="s">
        <v>53</v>
      </c>
      <c r="B163" t="str">
        <f t="shared" ref="B163:B173" si="57">LOOKUP($A163,$AE:$AE,AF:AF)</f>
        <v>Pumps</v>
      </c>
      <c r="C163" t="str">
        <f t="shared" ref="C163:C173" si="58">LOOKUP($A163,$AE:$AE,AG:AG)</f>
        <v>25-06046-002</v>
      </c>
      <c r="D163" s="1">
        <f t="shared" ref="D163:D173" si="59">LOOKUP($A163,$AE:$AE,AH:AH)</f>
        <v>0.2</v>
      </c>
      <c r="E163" s="1">
        <f t="shared" ref="E163:E173" si="60">LOOKUP($A163,$AE:$AE,AI:AI)</f>
        <v>0.2</v>
      </c>
      <c r="F163" s="1">
        <f t="shared" ref="F163:F173" si="61">LOOKUP($A163,$AE:$AE,AJ:AJ)</f>
        <v>0.2</v>
      </c>
      <c r="G163" s="1">
        <f t="shared" ref="G163:G173" si="62">LOOKUP($A163,$AE:$AE,AK:AK)</f>
        <v>0.2</v>
      </c>
      <c r="H163" s="1">
        <f t="shared" ref="H163:H173" si="63">LOOKUP($A163,$AE:$AE,AL:AL)</f>
        <v>0.2</v>
      </c>
      <c r="I163" s="1">
        <f t="shared" ref="I163:I173" si="64">LOOKUP($A163,$AE:$AE,AM:AM)</f>
        <v>0.2</v>
      </c>
    </row>
    <row r="164" spans="1:19" x14ac:dyDescent="0.3">
      <c r="A164" s="62" t="s">
        <v>61</v>
      </c>
      <c r="B164" t="str">
        <f t="shared" si="57"/>
        <v>Lift Stations</v>
      </c>
      <c r="C164" t="str">
        <f t="shared" si="58"/>
        <v>25-06003-001</v>
      </c>
      <c r="D164" s="1">
        <f t="shared" si="59"/>
        <v>0.2</v>
      </c>
      <c r="E164" s="1">
        <f t="shared" si="60"/>
        <v>0</v>
      </c>
      <c r="F164" s="1">
        <f t="shared" si="61"/>
        <v>0.2</v>
      </c>
      <c r="G164" s="1">
        <f t="shared" si="62"/>
        <v>0.2</v>
      </c>
      <c r="H164" s="1">
        <f t="shared" si="63"/>
        <v>0</v>
      </c>
      <c r="I164" s="1">
        <f t="shared" si="64"/>
        <v>0.2</v>
      </c>
    </row>
    <row r="165" spans="1:19" x14ac:dyDescent="0.3">
      <c r="A165" s="62" t="s">
        <v>66</v>
      </c>
      <c r="B165" t="str">
        <f t="shared" si="57"/>
        <v>Preliminary Treatment</v>
      </c>
      <c r="C165" t="str">
        <f t="shared" si="58"/>
        <v>25-09381-001</v>
      </c>
      <c r="D165" s="1">
        <f t="shared" si="59"/>
        <v>0.1</v>
      </c>
      <c r="E165" s="1">
        <f t="shared" si="60"/>
        <v>0.05</v>
      </c>
      <c r="F165" s="1">
        <f t="shared" si="61"/>
        <v>0.1</v>
      </c>
      <c r="G165" s="1">
        <f t="shared" si="62"/>
        <v>0.1</v>
      </c>
      <c r="H165" s="1">
        <f t="shared" si="63"/>
        <v>0</v>
      </c>
      <c r="I165" s="1">
        <f t="shared" si="64"/>
        <v>0.05</v>
      </c>
    </row>
    <row r="166" spans="1:19" x14ac:dyDescent="0.3">
      <c r="A166" s="62" t="str">
        <f>AE61</f>
        <v>WWT-004</v>
      </c>
      <c r="B166" t="str">
        <f t="shared" si="57"/>
        <v xml:space="preserve">Primary Treatment </v>
      </c>
      <c r="C166" t="str">
        <f t="shared" si="58"/>
        <v>25-09382-001</v>
      </c>
      <c r="D166" s="1">
        <f t="shared" si="59"/>
        <v>0.2</v>
      </c>
      <c r="E166" s="1">
        <f t="shared" si="60"/>
        <v>0</v>
      </c>
      <c r="F166" s="1">
        <f t="shared" si="61"/>
        <v>0.2</v>
      </c>
      <c r="G166" s="1">
        <f t="shared" si="62"/>
        <v>0.2</v>
      </c>
      <c r="H166" s="1">
        <f t="shared" si="63"/>
        <v>0</v>
      </c>
      <c r="I166" s="1">
        <f t="shared" si="64"/>
        <v>0</v>
      </c>
    </row>
    <row r="167" spans="1:19" x14ac:dyDescent="0.3">
      <c r="A167" s="62" t="s">
        <v>69</v>
      </c>
      <c r="B167" t="str">
        <f t="shared" si="57"/>
        <v>Fixed Film: Trickling Filters and RBCs</v>
      </c>
      <c r="C167" t="str">
        <f t="shared" si="58"/>
        <v>25-06008-001</v>
      </c>
      <c r="D167" s="1">
        <f t="shared" si="59"/>
        <v>0.2</v>
      </c>
      <c r="E167" s="1">
        <f t="shared" si="60"/>
        <v>0</v>
      </c>
      <c r="F167" s="1">
        <f t="shared" si="61"/>
        <v>0.2</v>
      </c>
      <c r="G167" s="1">
        <f t="shared" si="62"/>
        <v>0.2</v>
      </c>
      <c r="H167" s="1">
        <f t="shared" si="63"/>
        <v>0</v>
      </c>
      <c r="I167" s="1">
        <f t="shared" si="64"/>
        <v>0</v>
      </c>
    </row>
    <row r="168" spans="1:19" x14ac:dyDescent="0.3">
      <c r="A168" s="62" t="s">
        <v>892</v>
      </c>
      <c r="B168" t="str">
        <f t="shared" si="57"/>
        <v>Activated Sludge Microbiology: A View Beneath the Surface</v>
      </c>
      <c r="C168" t="str">
        <f t="shared" si="58"/>
        <v>25-08900-001</v>
      </c>
      <c r="D168" s="1">
        <f t="shared" si="59"/>
        <v>0.1</v>
      </c>
      <c r="E168" s="1">
        <f t="shared" si="60"/>
        <v>0</v>
      </c>
      <c r="F168" s="1">
        <f t="shared" si="61"/>
        <v>0.1</v>
      </c>
      <c r="G168" s="1">
        <f t="shared" si="62"/>
        <v>0.1</v>
      </c>
      <c r="H168" s="1">
        <f t="shared" si="63"/>
        <v>0</v>
      </c>
      <c r="I168" s="1">
        <f t="shared" si="64"/>
        <v>0</v>
      </c>
    </row>
    <row r="169" spans="1:19" x14ac:dyDescent="0.3">
      <c r="A169" s="62" t="s">
        <v>893</v>
      </c>
      <c r="B169" t="str">
        <f t="shared" si="57"/>
        <v>Activated Sludge Microbiology: Microscope Basics and the Micro Exam</v>
      </c>
      <c r="C169" t="str">
        <f t="shared" si="58"/>
        <v>25-08901-001</v>
      </c>
      <c r="D169" s="1">
        <f t="shared" si="59"/>
        <v>0.1</v>
      </c>
      <c r="E169" s="1">
        <f t="shared" si="60"/>
        <v>0</v>
      </c>
      <c r="F169" s="1">
        <f t="shared" si="61"/>
        <v>0.1</v>
      </c>
      <c r="G169" s="1">
        <f t="shared" si="62"/>
        <v>0.1</v>
      </c>
      <c r="H169" s="1">
        <f t="shared" si="63"/>
        <v>0</v>
      </c>
      <c r="I169" s="1">
        <f t="shared" si="64"/>
        <v>0</v>
      </c>
    </row>
    <row r="170" spans="1:19" x14ac:dyDescent="0.3">
      <c r="A170" s="62" t="s">
        <v>75</v>
      </c>
      <c r="B170" t="str">
        <f t="shared" si="57"/>
        <v>Activated Sludge Microbiology: Filaments and Settling Problems</v>
      </c>
      <c r="C170" t="str">
        <f t="shared" si="58"/>
        <v>25-08902-001</v>
      </c>
      <c r="D170" s="1">
        <f t="shared" si="59"/>
        <v>0.1</v>
      </c>
      <c r="E170" s="1">
        <f t="shared" si="60"/>
        <v>0</v>
      </c>
      <c r="F170" s="1">
        <f t="shared" si="61"/>
        <v>0.1</v>
      </c>
      <c r="G170" s="1">
        <f t="shared" si="62"/>
        <v>0.1</v>
      </c>
      <c r="H170" s="1">
        <f t="shared" si="63"/>
        <v>0</v>
      </c>
      <c r="I170" s="1">
        <f t="shared" si="64"/>
        <v>0</v>
      </c>
    </row>
    <row r="171" spans="1:19" x14ac:dyDescent="0.3">
      <c r="A171" s="62" t="s">
        <v>82</v>
      </c>
      <c r="B171" t="str">
        <f t="shared" si="57"/>
        <v>Chlorine Disinfection</v>
      </c>
      <c r="C171" t="str">
        <f t="shared" si="58"/>
        <v>25-06020-001</v>
      </c>
      <c r="D171" s="1">
        <f t="shared" si="59"/>
        <v>0.25</v>
      </c>
      <c r="E171" s="1">
        <f t="shared" si="60"/>
        <v>0.25</v>
      </c>
      <c r="F171" s="1">
        <f t="shared" si="61"/>
        <v>0.25</v>
      </c>
      <c r="G171" s="1">
        <f t="shared" si="62"/>
        <v>0.25</v>
      </c>
      <c r="H171" s="1">
        <f t="shared" si="63"/>
        <v>0.25</v>
      </c>
      <c r="I171" s="1">
        <f t="shared" si="64"/>
        <v>0</v>
      </c>
    </row>
    <row r="172" spans="1:19" x14ac:dyDescent="0.3">
      <c r="A172" s="62" t="s">
        <v>699</v>
      </c>
      <c r="B172" t="str">
        <f t="shared" si="57"/>
        <v>MRT for Wastewater Treatment and Collection Systems</v>
      </c>
      <c r="C172" t="str">
        <f t="shared" si="58"/>
        <v>25-06840-002</v>
      </c>
      <c r="D172" s="1">
        <f t="shared" si="59"/>
        <v>0.25</v>
      </c>
      <c r="E172" s="1">
        <f t="shared" si="60"/>
        <v>0</v>
      </c>
      <c r="F172" s="1">
        <f t="shared" si="61"/>
        <v>0.25</v>
      </c>
      <c r="G172" s="1">
        <f t="shared" si="62"/>
        <v>0.25</v>
      </c>
      <c r="H172" s="1">
        <f t="shared" si="63"/>
        <v>0</v>
      </c>
      <c r="I172" s="1">
        <f t="shared" si="64"/>
        <v>0.25</v>
      </c>
    </row>
    <row r="173" spans="1:19" x14ac:dyDescent="0.3">
      <c r="A173" s="62" t="s">
        <v>1873</v>
      </c>
      <c r="B173" t="str">
        <f t="shared" si="57"/>
        <v>Gravity and Dissolved Air Floatation Thickeners</v>
      </c>
      <c r="C173" t="str">
        <f t="shared" si="58"/>
        <v>25-10671-001</v>
      </c>
      <c r="D173" s="1">
        <f t="shared" si="59"/>
        <v>0.2</v>
      </c>
      <c r="E173" s="1">
        <f t="shared" si="60"/>
        <v>0</v>
      </c>
      <c r="F173" s="1">
        <f t="shared" si="61"/>
        <v>0.2</v>
      </c>
      <c r="G173" s="1">
        <f t="shared" si="62"/>
        <v>0.2</v>
      </c>
      <c r="H173" s="1">
        <f t="shared" si="63"/>
        <v>0</v>
      </c>
      <c r="I173" s="1">
        <f t="shared" si="64"/>
        <v>0</v>
      </c>
    </row>
    <row r="174" spans="1:19" x14ac:dyDescent="0.3">
      <c r="A174" t="s">
        <v>319</v>
      </c>
      <c r="D174" s="1">
        <f>SUM(Table391012182123[Max])</f>
        <v>1.9</v>
      </c>
      <c r="E174" s="1">
        <f>SUM(Table391012182123[W])</f>
        <v>0.5</v>
      </c>
      <c r="F174" s="1">
        <f>SUM(Table391012182123[WW])</f>
        <v>1.9</v>
      </c>
      <c r="G174" s="1">
        <f>SUM(Table391012182123[I])</f>
        <v>1.9</v>
      </c>
      <c r="H174" s="1">
        <f>SUM(Table391012182123[D])</f>
        <v>0.45</v>
      </c>
      <c r="I174" s="1">
        <f>SUM(Table391012182123[C])</f>
        <v>0.7</v>
      </c>
    </row>
    <row r="176" spans="1:19" ht="18" x14ac:dyDescent="0.35">
      <c r="A176" s="6" t="s">
        <v>2116</v>
      </c>
      <c r="I176" s="63">
        <f>(D189-0.25)*10*20*0.9</f>
        <v>387</v>
      </c>
      <c r="S176" s="10"/>
    </row>
    <row r="177" spans="1:19" ht="18" x14ac:dyDescent="0.35">
      <c r="A177" t="s">
        <v>1898</v>
      </c>
      <c r="B177" t="s">
        <v>279</v>
      </c>
      <c r="C177" t="s">
        <v>1900</v>
      </c>
      <c r="D177" s="1" t="s">
        <v>1187</v>
      </c>
      <c r="E177" s="1" t="s">
        <v>22</v>
      </c>
      <c r="F177" s="1" t="s">
        <v>23</v>
      </c>
      <c r="G177" s="1" t="s">
        <v>26</v>
      </c>
      <c r="H177" s="1" t="s">
        <v>25</v>
      </c>
      <c r="I177" s="1" t="s">
        <v>24</v>
      </c>
      <c r="S177" s="10"/>
    </row>
    <row r="178" spans="1:19" ht="18" x14ac:dyDescent="0.35">
      <c r="A178" s="62" t="s">
        <v>61</v>
      </c>
      <c r="B178" t="str">
        <f t="shared" ref="B178:B188" si="65">LOOKUP($A178,$AE:$AE,AF:AF)</f>
        <v>Lift Stations</v>
      </c>
      <c r="C178" t="str">
        <f t="shared" ref="C178:C188" si="66">LOOKUP($A178,$AE:$AE,AG:AG)</f>
        <v>25-06003-001</v>
      </c>
      <c r="D178" s="1">
        <f t="shared" ref="D178:D188" si="67">LOOKUP($A178,$AE:$AE,AH:AH)</f>
        <v>0.2</v>
      </c>
      <c r="E178" s="1">
        <f t="shared" ref="E178:E188" si="68">LOOKUP($A178,$AE:$AE,AI:AI)</f>
        <v>0</v>
      </c>
      <c r="F178" s="1">
        <f t="shared" ref="F178:F188" si="69">LOOKUP($A178,$AE:$AE,AJ:AJ)</f>
        <v>0.2</v>
      </c>
      <c r="G178" s="1">
        <f t="shared" ref="G178:G188" si="70">LOOKUP($A178,$AE:$AE,AK:AK)</f>
        <v>0.2</v>
      </c>
      <c r="H178" s="1">
        <f t="shared" ref="H178:H188" si="71">LOOKUP($A178,$AE:$AE,AL:AL)</f>
        <v>0</v>
      </c>
      <c r="I178" s="1">
        <f t="shared" ref="I178:I188" si="72">LOOKUP($A178,$AE:$AE,AM:AM)</f>
        <v>0.2</v>
      </c>
      <c r="S178" s="10"/>
    </row>
    <row r="179" spans="1:19" ht="18" x14ac:dyDescent="0.35">
      <c r="A179" s="62" t="s">
        <v>74</v>
      </c>
      <c r="B179" t="str">
        <f t="shared" si="65"/>
        <v>Top 10 Questions for Activated Sludge Process Control</v>
      </c>
      <c r="C179" t="str">
        <f t="shared" si="66"/>
        <v>25-07727-001</v>
      </c>
      <c r="D179" s="1">
        <f t="shared" si="67"/>
        <v>0.25</v>
      </c>
      <c r="E179" s="1">
        <f t="shared" si="68"/>
        <v>0</v>
      </c>
      <c r="F179" s="1">
        <f t="shared" si="69"/>
        <v>0.25</v>
      </c>
      <c r="G179" s="1">
        <f t="shared" si="70"/>
        <v>0.25</v>
      </c>
      <c r="H179" s="1">
        <f t="shared" si="71"/>
        <v>0</v>
      </c>
      <c r="I179" s="1">
        <f t="shared" si="72"/>
        <v>0</v>
      </c>
      <c r="S179" s="10"/>
    </row>
    <row r="180" spans="1:19" ht="18" x14ac:dyDescent="0.35">
      <c r="A180" s="62" t="s">
        <v>78</v>
      </c>
      <c r="B180" t="str">
        <f t="shared" si="65"/>
        <v>Nitrification and Denitrification</v>
      </c>
      <c r="C180" t="str">
        <f t="shared" si="66"/>
        <v>25-06016-001</v>
      </c>
      <c r="D180" s="1">
        <f t="shared" si="67"/>
        <v>0.3</v>
      </c>
      <c r="E180" s="1">
        <f t="shared" si="68"/>
        <v>0.3</v>
      </c>
      <c r="F180" s="1">
        <f t="shared" si="69"/>
        <v>0.3</v>
      </c>
      <c r="G180" s="1">
        <f t="shared" si="70"/>
        <v>0.3</v>
      </c>
      <c r="H180" s="1">
        <f t="shared" si="71"/>
        <v>0</v>
      </c>
      <c r="I180" s="1">
        <f t="shared" si="72"/>
        <v>0</v>
      </c>
      <c r="S180" s="10"/>
    </row>
    <row r="181" spans="1:19" ht="18" x14ac:dyDescent="0.35">
      <c r="A181" s="62" t="s">
        <v>79</v>
      </c>
      <c r="B181" t="str">
        <f t="shared" si="65"/>
        <v>Biological and Chemical Phosphorus Removal</v>
      </c>
      <c r="C181" t="str">
        <f t="shared" si="66"/>
        <v>25-06017-001</v>
      </c>
      <c r="D181" s="1">
        <f t="shared" si="67"/>
        <v>0.2</v>
      </c>
      <c r="E181" s="1">
        <f t="shared" si="68"/>
        <v>0</v>
      </c>
      <c r="F181" s="1">
        <f t="shared" si="69"/>
        <v>0.2</v>
      </c>
      <c r="G181" s="1">
        <f t="shared" si="70"/>
        <v>0.2</v>
      </c>
      <c r="H181" s="1">
        <f t="shared" si="71"/>
        <v>0</v>
      </c>
      <c r="I181" s="1">
        <f t="shared" si="72"/>
        <v>0</v>
      </c>
      <c r="S181" s="10"/>
    </row>
    <row r="182" spans="1:19" ht="18" x14ac:dyDescent="0.35">
      <c r="A182" s="62" t="s">
        <v>80</v>
      </c>
      <c r="B182" t="str">
        <f t="shared" si="65"/>
        <v>State Point Analysis for Secondary Clarifiers</v>
      </c>
      <c r="C182" t="str">
        <f t="shared" si="66"/>
        <v>25-06018-001</v>
      </c>
      <c r="D182" s="1">
        <f t="shared" si="67"/>
        <v>0.15</v>
      </c>
      <c r="E182" s="1">
        <f t="shared" si="68"/>
        <v>0.15</v>
      </c>
      <c r="F182" s="1">
        <f t="shared" si="69"/>
        <v>0.15</v>
      </c>
      <c r="G182" s="1">
        <f t="shared" si="70"/>
        <v>0.15</v>
      </c>
      <c r="H182" s="1">
        <f t="shared" si="71"/>
        <v>0</v>
      </c>
      <c r="I182" s="1">
        <f t="shared" si="72"/>
        <v>0</v>
      </c>
      <c r="S182" s="10"/>
    </row>
    <row r="183" spans="1:19" ht="18" x14ac:dyDescent="0.35">
      <c r="A183" s="62" t="s">
        <v>82</v>
      </c>
      <c r="B183" t="str">
        <f t="shared" si="65"/>
        <v>Chlorine Disinfection</v>
      </c>
      <c r="C183" t="str">
        <f t="shared" si="66"/>
        <v>25-06020-001</v>
      </c>
      <c r="D183" s="1">
        <f t="shared" si="67"/>
        <v>0.25</v>
      </c>
      <c r="E183" s="1">
        <f t="shared" si="68"/>
        <v>0.25</v>
      </c>
      <c r="F183" s="1">
        <f t="shared" si="69"/>
        <v>0.25</v>
      </c>
      <c r="G183" s="1">
        <f t="shared" si="70"/>
        <v>0.25</v>
      </c>
      <c r="H183" s="1">
        <f t="shared" si="71"/>
        <v>0.25</v>
      </c>
      <c r="I183" s="1">
        <f t="shared" si="72"/>
        <v>0</v>
      </c>
      <c r="S183" s="10"/>
    </row>
    <row r="184" spans="1:19" ht="18" x14ac:dyDescent="0.35">
      <c r="A184" s="62" t="s">
        <v>85</v>
      </c>
      <c r="B184" t="str">
        <f t="shared" si="65"/>
        <v>Aerobic and Anaerobic Digestion</v>
      </c>
      <c r="C184" t="str">
        <f t="shared" si="66"/>
        <v>25-06023-001</v>
      </c>
      <c r="D184" s="1">
        <f t="shared" si="67"/>
        <v>0.3</v>
      </c>
      <c r="E184" s="1">
        <f t="shared" si="68"/>
        <v>0</v>
      </c>
      <c r="F184" s="1">
        <f t="shared" si="69"/>
        <v>0.3</v>
      </c>
      <c r="G184" s="1">
        <f t="shared" si="70"/>
        <v>0.3</v>
      </c>
      <c r="H184" s="1">
        <f t="shared" si="71"/>
        <v>0</v>
      </c>
      <c r="I184" s="1">
        <f t="shared" si="72"/>
        <v>0</v>
      </c>
      <c r="S184" s="10"/>
    </row>
    <row r="185" spans="1:19" ht="18" x14ac:dyDescent="0.35">
      <c r="A185" s="62" t="s">
        <v>86</v>
      </c>
      <c r="B185" t="str">
        <f t="shared" si="65"/>
        <v>Belt Filter Presses</v>
      </c>
      <c r="C185" t="str">
        <f t="shared" si="66"/>
        <v>25-06024-001</v>
      </c>
      <c r="D185" s="1">
        <f t="shared" si="67"/>
        <v>0.2</v>
      </c>
      <c r="E185" s="1">
        <f t="shared" si="68"/>
        <v>0.2</v>
      </c>
      <c r="F185" s="1">
        <f t="shared" si="69"/>
        <v>0.2</v>
      </c>
      <c r="G185" s="1">
        <f t="shared" si="70"/>
        <v>0.2</v>
      </c>
      <c r="H185" s="1">
        <f t="shared" si="71"/>
        <v>0</v>
      </c>
      <c r="I185" s="1">
        <f t="shared" si="72"/>
        <v>0</v>
      </c>
      <c r="S185" s="10"/>
    </row>
    <row r="186" spans="1:19" ht="18" x14ac:dyDescent="0.35">
      <c r="A186" s="62" t="s">
        <v>87</v>
      </c>
      <c r="B186" t="str">
        <f t="shared" si="65"/>
        <v>Centrifuges</v>
      </c>
      <c r="C186" t="str">
        <f t="shared" si="66"/>
        <v>25-06025-001</v>
      </c>
      <c r="D186" s="1">
        <f t="shared" si="67"/>
        <v>0.2</v>
      </c>
      <c r="E186" s="1">
        <f t="shared" si="68"/>
        <v>0.2</v>
      </c>
      <c r="F186" s="1">
        <f t="shared" si="69"/>
        <v>0.2</v>
      </c>
      <c r="G186" s="1">
        <f t="shared" si="70"/>
        <v>0.2</v>
      </c>
      <c r="H186" s="1">
        <f t="shared" si="71"/>
        <v>0</v>
      </c>
      <c r="I186" s="1">
        <f t="shared" si="72"/>
        <v>0</v>
      </c>
      <c r="S186" s="10"/>
    </row>
    <row r="187" spans="1:19" x14ac:dyDescent="0.3">
      <c r="A187" s="62" t="s">
        <v>699</v>
      </c>
      <c r="B187" t="str">
        <f t="shared" si="65"/>
        <v>MRT for Wastewater Treatment and Collection Systems</v>
      </c>
      <c r="C187" t="str">
        <f t="shared" si="66"/>
        <v>25-06840-002</v>
      </c>
      <c r="D187" s="1">
        <f t="shared" si="67"/>
        <v>0.25</v>
      </c>
      <c r="E187" s="1">
        <f t="shared" si="68"/>
        <v>0</v>
      </c>
      <c r="F187" s="1">
        <f t="shared" si="69"/>
        <v>0.25</v>
      </c>
      <c r="G187" s="1">
        <f t="shared" si="70"/>
        <v>0.25</v>
      </c>
      <c r="H187" s="1">
        <f t="shared" si="71"/>
        <v>0</v>
      </c>
      <c r="I187" s="1">
        <f t="shared" si="72"/>
        <v>0.25</v>
      </c>
    </row>
    <row r="188" spans="1:19" x14ac:dyDescent="0.3">
      <c r="A188" s="62" t="str">
        <f>AE67</f>
        <v>WWT-007B</v>
      </c>
      <c r="B188" t="str">
        <f t="shared" si="65"/>
        <v>Subsurface Flow Wetlands for Wastewater Treatment</v>
      </c>
      <c r="C188" t="str">
        <f t="shared" si="66"/>
        <v>25-10616-001</v>
      </c>
      <c r="D188" s="1">
        <f t="shared" si="67"/>
        <v>0.1</v>
      </c>
      <c r="E188" s="1">
        <f t="shared" si="68"/>
        <v>0</v>
      </c>
      <c r="F188" s="1">
        <f t="shared" si="69"/>
        <v>0.1</v>
      </c>
      <c r="G188" s="1">
        <f t="shared" si="70"/>
        <v>0.1</v>
      </c>
      <c r="H188" s="1">
        <f t="shared" si="71"/>
        <v>0</v>
      </c>
      <c r="I188" s="1">
        <f t="shared" si="72"/>
        <v>0</v>
      </c>
    </row>
    <row r="189" spans="1:19" x14ac:dyDescent="0.3">
      <c r="A189" t="s">
        <v>319</v>
      </c>
      <c r="D189" s="1">
        <f>SUM(Table391012182125[Max])</f>
        <v>2.4</v>
      </c>
      <c r="E189" s="1">
        <f>SUM(Table391012182125[W])</f>
        <v>1.0999999999999999</v>
      </c>
      <c r="F189" s="1">
        <f>SUM(Table391012182125[WW])</f>
        <v>2.4</v>
      </c>
      <c r="G189" s="1">
        <f>SUM(Table391012182125[I])</f>
        <v>2.4</v>
      </c>
      <c r="H189" s="1">
        <f>SUM(Table391012182125[D])</f>
        <v>0.25</v>
      </c>
      <c r="I189" s="1">
        <f>SUM(Table391012182125[C])</f>
        <v>0.45</v>
      </c>
    </row>
    <row r="191" spans="1:19" x14ac:dyDescent="0.3">
      <c r="A191" s="6" t="s">
        <v>2117</v>
      </c>
      <c r="I191" s="63">
        <f>(D207-0.25)*10*20*0.9</f>
        <v>504.00000000000011</v>
      </c>
    </row>
    <row r="192" spans="1:19" x14ac:dyDescent="0.3">
      <c r="A192" t="s">
        <v>1898</v>
      </c>
      <c r="B192" t="s">
        <v>279</v>
      </c>
      <c r="C192" t="s">
        <v>1900</v>
      </c>
      <c r="D192" s="1" t="s">
        <v>1187</v>
      </c>
      <c r="E192" s="1" t="s">
        <v>22</v>
      </c>
      <c r="F192" s="1" t="s">
        <v>23</v>
      </c>
      <c r="G192" s="1" t="s">
        <v>26</v>
      </c>
      <c r="H192" s="1" t="s">
        <v>25</v>
      </c>
      <c r="I192" s="1" t="s">
        <v>24</v>
      </c>
    </row>
    <row r="193" spans="1:9" x14ac:dyDescent="0.3">
      <c r="A193" s="62" t="s">
        <v>56</v>
      </c>
      <c r="B193" t="str">
        <f t="shared" ref="B193:B206" si="73">LOOKUP($A193,$AE:$AE,AF:AF)</f>
        <v>Aeration Systems</v>
      </c>
      <c r="C193" t="str">
        <f t="shared" ref="C193:C206" si="74">LOOKUP($A193,$AE:$AE,AG:AG)</f>
        <v>25-09505-001</v>
      </c>
      <c r="D193" s="1">
        <f t="shared" ref="D193:D206" si="75">LOOKUP($A193,$AE:$AE,AH:AH)</f>
        <v>0.15</v>
      </c>
      <c r="E193" s="1">
        <f t="shared" ref="E193:E206" si="76">LOOKUP($A193,$AE:$AE,AI:AI)</f>
        <v>0.15</v>
      </c>
      <c r="F193" s="1">
        <f t="shared" ref="F193:F206" si="77">LOOKUP($A193,$AE:$AE,AJ:AJ)</f>
        <v>0.15</v>
      </c>
      <c r="G193" s="1">
        <f t="shared" ref="G193:G206" si="78">LOOKUP($A193,$AE:$AE,AK:AK)</f>
        <v>0.15</v>
      </c>
      <c r="H193" s="1">
        <f t="shared" ref="H193:H206" si="79">LOOKUP($A193,$AE:$AE,AL:AL)</f>
        <v>0</v>
      </c>
      <c r="I193" s="1">
        <f t="shared" ref="I193:I206" si="80">LOOKUP($A193,$AE:$AE,AM:AM)</f>
        <v>0</v>
      </c>
    </row>
    <row r="194" spans="1:9" x14ac:dyDescent="0.3">
      <c r="A194" s="62" t="s">
        <v>61</v>
      </c>
      <c r="B194" t="str">
        <f t="shared" si="73"/>
        <v>Lift Stations</v>
      </c>
      <c r="C194" t="str">
        <f t="shared" si="74"/>
        <v>25-06003-001</v>
      </c>
      <c r="D194" s="1">
        <f t="shared" si="75"/>
        <v>0.2</v>
      </c>
      <c r="E194" s="1">
        <f t="shared" si="76"/>
        <v>0</v>
      </c>
      <c r="F194" s="1">
        <f t="shared" si="77"/>
        <v>0.2</v>
      </c>
      <c r="G194" s="1">
        <f t="shared" si="78"/>
        <v>0.2</v>
      </c>
      <c r="H194" s="1">
        <f t="shared" si="79"/>
        <v>0</v>
      </c>
      <c r="I194" s="1">
        <f t="shared" si="80"/>
        <v>0.2</v>
      </c>
    </row>
    <row r="195" spans="1:9" x14ac:dyDescent="0.3">
      <c r="A195" s="62" t="s">
        <v>74</v>
      </c>
      <c r="B195" t="str">
        <f t="shared" si="73"/>
        <v>Top 10 Questions for Activated Sludge Process Control</v>
      </c>
      <c r="C195" t="str">
        <f t="shared" si="74"/>
        <v>25-07727-001</v>
      </c>
      <c r="D195" s="1">
        <f t="shared" si="75"/>
        <v>0.25</v>
      </c>
      <c r="E195" s="1">
        <f t="shared" si="76"/>
        <v>0</v>
      </c>
      <c r="F195" s="1">
        <f t="shared" si="77"/>
        <v>0.25</v>
      </c>
      <c r="G195" s="1">
        <f t="shared" si="78"/>
        <v>0.25</v>
      </c>
      <c r="H195" s="1">
        <f t="shared" si="79"/>
        <v>0</v>
      </c>
      <c r="I195" s="1">
        <f t="shared" si="80"/>
        <v>0</v>
      </c>
    </row>
    <row r="196" spans="1:9" x14ac:dyDescent="0.3">
      <c r="A196" s="62" t="s">
        <v>78</v>
      </c>
      <c r="B196" t="str">
        <f t="shared" si="73"/>
        <v>Nitrification and Denitrification</v>
      </c>
      <c r="C196" t="str">
        <f t="shared" si="74"/>
        <v>25-06016-001</v>
      </c>
      <c r="D196" s="1">
        <f t="shared" si="75"/>
        <v>0.3</v>
      </c>
      <c r="E196" s="1">
        <f t="shared" si="76"/>
        <v>0.3</v>
      </c>
      <c r="F196" s="1">
        <f t="shared" si="77"/>
        <v>0.3</v>
      </c>
      <c r="G196" s="1">
        <f t="shared" si="78"/>
        <v>0.3</v>
      </c>
      <c r="H196" s="1">
        <f t="shared" si="79"/>
        <v>0</v>
      </c>
      <c r="I196" s="1">
        <f t="shared" si="80"/>
        <v>0</v>
      </c>
    </row>
    <row r="197" spans="1:9" x14ac:dyDescent="0.3">
      <c r="A197" s="62" t="s">
        <v>79</v>
      </c>
      <c r="B197" t="str">
        <f t="shared" si="73"/>
        <v>Biological and Chemical Phosphorus Removal</v>
      </c>
      <c r="C197" t="str">
        <f t="shared" si="74"/>
        <v>25-06017-001</v>
      </c>
      <c r="D197" s="1">
        <f t="shared" si="75"/>
        <v>0.2</v>
      </c>
      <c r="E197" s="1">
        <f t="shared" si="76"/>
        <v>0</v>
      </c>
      <c r="F197" s="1">
        <f t="shared" si="77"/>
        <v>0.2</v>
      </c>
      <c r="G197" s="1">
        <f t="shared" si="78"/>
        <v>0.2</v>
      </c>
      <c r="H197" s="1">
        <f t="shared" si="79"/>
        <v>0</v>
      </c>
      <c r="I197" s="1">
        <f t="shared" si="80"/>
        <v>0</v>
      </c>
    </row>
    <row r="198" spans="1:9" x14ac:dyDescent="0.3">
      <c r="A198" s="62" t="s">
        <v>80</v>
      </c>
      <c r="B198" t="str">
        <f t="shared" si="73"/>
        <v>State Point Analysis for Secondary Clarifiers</v>
      </c>
      <c r="C198" t="str">
        <f t="shared" si="74"/>
        <v>25-06018-001</v>
      </c>
      <c r="D198" s="1">
        <f t="shared" si="75"/>
        <v>0.15</v>
      </c>
      <c r="E198" s="1">
        <f t="shared" si="76"/>
        <v>0.15</v>
      </c>
      <c r="F198" s="1">
        <f t="shared" si="77"/>
        <v>0.15</v>
      </c>
      <c r="G198" s="1">
        <f t="shared" si="78"/>
        <v>0.15</v>
      </c>
      <c r="H198" s="1">
        <f t="shared" si="79"/>
        <v>0</v>
      </c>
      <c r="I198" s="1">
        <f t="shared" si="80"/>
        <v>0</v>
      </c>
    </row>
    <row r="199" spans="1:9" x14ac:dyDescent="0.3">
      <c r="A199" s="62" t="s">
        <v>82</v>
      </c>
      <c r="B199" t="str">
        <f t="shared" si="73"/>
        <v>Chlorine Disinfection</v>
      </c>
      <c r="C199" t="str">
        <f t="shared" si="74"/>
        <v>25-06020-001</v>
      </c>
      <c r="D199" s="1">
        <f t="shared" si="75"/>
        <v>0.25</v>
      </c>
      <c r="E199" s="1">
        <f t="shared" si="76"/>
        <v>0.25</v>
      </c>
      <c r="F199" s="1">
        <f t="shared" si="77"/>
        <v>0.25</v>
      </c>
      <c r="G199" s="1">
        <f t="shared" si="78"/>
        <v>0.25</v>
      </c>
      <c r="H199" s="1">
        <f t="shared" si="79"/>
        <v>0.25</v>
      </c>
      <c r="I199" s="1">
        <f t="shared" si="80"/>
        <v>0</v>
      </c>
    </row>
    <row r="200" spans="1:9" x14ac:dyDescent="0.3">
      <c r="A200" s="62" t="s">
        <v>85</v>
      </c>
      <c r="B200" t="str">
        <f t="shared" si="73"/>
        <v>Aerobic and Anaerobic Digestion</v>
      </c>
      <c r="C200" t="str">
        <f t="shared" si="74"/>
        <v>25-06023-001</v>
      </c>
      <c r="D200" s="1">
        <f t="shared" si="75"/>
        <v>0.3</v>
      </c>
      <c r="E200" s="1">
        <f t="shared" si="76"/>
        <v>0</v>
      </c>
      <c r="F200" s="1">
        <f t="shared" si="77"/>
        <v>0.3</v>
      </c>
      <c r="G200" s="1">
        <f t="shared" si="78"/>
        <v>0.3</v>
      </c>
      <c r="H200" s="1">
        <f t="shared" si="79"/>
        <v>0</v>
      </c>
      <c r="I200" s="1">
        <f t="shared" si="80"/>
        <v>0</v>
      </c>
    </row>
    <row r="201" spans="1:9" x14ac:dyDescent="0.3">
      <c r="A201" s="62" t="s">
        <v>86</v>
      </c>
      <c r="B201" t="str">
        <f t="shared" si="73"/>
        <v>Belt Filter Presses</v>
      </c>
      <c r="C201" t="str">
        <f t="shared" si="74"/>
        <v>25-06024-001</v>
      </c>
      <c r="D201" s="1">
        <f t="shared" si="75"/>
        <v>0.2</v>
      </c>
      <c r="E201" s="1">
        <f t="shared" si="76"/>
        <v>0.2</v>
      </c>
      <c r="F201" s="1">
        <f t="shared" si="77"/>
        <v>0.2</v>
      </c>
      <c r="G201" s="1">
        <f t="shared" si="78"/>
        <v>0.2</v>
      </c>
      <c r="H201" s="1">
        <f t="shared" si="79"/>
        <v>0</v>
      </c>
      <c r="I201" s="1">
        <f t="shared" si="80"/>
        <v>0</v>
      </c>
    </row>
    <row r="202" spans="1:9" x14ac:dyDescent="0.3">
      <c r="A202" s="62" t="s">
        <v>87</v>
      </c>
      <c r="B202" t="str">
        <f t="shared" si="73"/>
        <v>Centrifuges</v>
      </c>
      <c r="C202" t="str">
        <f t="shared" si="74"/>
        <v>25-06025-001</v>
      </c>
      <c r="D202" s="1">
        <f t="shared" si="75"/>
        <v>0.2</v>
      </c>
      <c r="E202" s="1">
        <f t="shared" si="76"/>
        <v>0.2</v>
      </c>
      <c r="F202" s="1">
        <f t="shared" si="77"/>
        <v>0.2</v>
      </c>
      <c r="G202" s="1">
        <f t="shared" si="78"/>
        <v>0.2</v>
      </c>
      <c r="H202" s="1">
        <f t="shared" si="79"/>
        <v>0</v>
      </c>
      <c r="I202" s="1">
        <f t="shared" si="80"/>
        <v>0</v>
      </c>
    </row>
    <row r="203" spans="1:9" x14ac:dyDescent="0.3">
      <c r="A203" s="62" t="s">
        <v>520</v>
      </c>
      <c r="B203" t="str">
        <f t="shared" si="73"/>
        <v>Odor Control</v>
      </c>
      <c r="C203" t="str">
        <f t="shared" si="74"/>
        <v>25-06026-001</v>
      </c>
      <c r="D203" s="1">
        <f t="shared" si="75"/>
        <v>0.2</v>
      </c>
      <c r="E203" s="1">
        <f t="shared" si="76"/>
        <v>0</v>
      </c>
      <c r="F203" s="1">
        <f t="shared" si="77"/>
        <v>0.2</v>
      </c>
      <c r="G203" s="1">
        <f t="shared" si="78"/>
        <v>0.2</v>
      </c>
      <c r="H203" s="1">
        <f t="shared" si="79"/>
        <v>0</v>
      </c>
      <c r="I203" s="1">
        <f t="shared" si="80"/>
        <v>0.2</v>
      </c>
    </row>
    <row r="204" spans="1:9" x14ac:dyDescent="0.3">
      <c r="A204" s="62" t="s">
        <v>164</v>
      </c>
      <c r="B204" t="str">
        <f t="shared" si="73"/>
        <v>How Did CDPHE Determine My Permit Limits?</v>
      </c>
      <c r="C204" t="str">
        <f t="shared" si="74"/>
        <v>25-06033-001</v>
      </c>
      <c r="D204" s="1">
        <f t="shared" si="75"/>
        <v>0.2</v>
      </c>
      <c r="E204" s="1">
        <f t="shared" si="76"/>
        <v>0.2</v>
      </c>
      <c r="F204" s="1">
        <f t="shared" si="77"/>
        <v>0.2</v>
      </c>
      <c r="G204" s="1">
        <f t="shared" si="78"/>
        <v>0.2</v>
      </c>
      <c r="H204" s="1">
        <f t="shared" si="79"/>
        <v>0</v>
      </c>
      <c r="I204" s="1">
        <f t="shared" si="80"/>
        <v>0</v>
      </c>
    </row>
    <row r="205" spans="1:9" x14ac:dyDescent="0.3">
      <c r="A205" s="62" t="s">
        <v>699</v>
      </c>
      <c r="B205" t="str">
        <f t="shared" si="73"/>
        <v>MRT for Wastewater Treatment and Collection Systems</v>
      </c>
      <c r="C205" t="str">
        <f t="shared" si="74"/>
        <v>25-06840-002</v>
      </c>
      <c r="D205" s="1">
        <f t="shared" si="75"/>
        <v>0.25</v>
      </c>
      <c r="E205" s="1">
        <f t="shared" si="76"/>
        <v>0</v>
      </c>
      <c r="F205" s="1">
        <f t="shared" si="77"/>
        <v>0.25</v>
      </c>
      <c r="G205" s="1">
        <f t="shared" si="78"/>
        <v>0.25</v>
      </c>
      <c r="H205" s="1">
        <f t="shared" si="79"/>
        <v>0</v>
      </c>
      <c r="I205" s="1">
        <f t="shared" si="80"/>
        <v>0.25</v>
      </c>
    </row>
    <row r="206" spans="1:9" x14ac:dyDescent="0.3">
      <c r="A206" s="62" t="s">
        <v>1873</v>
      </c>
      <c r="B206" t="str">
        <f t="shared" si="73"/>
        <v>Gravity and Dissolved Air Floatation Thickeners</v>
      </c>
      <c r="C206" t="str">
        <f t="shared" si="74"/>
        <v>25-10671-001</v>
      </c>
      <c r="D206" s="1">
        <f t="shared" si="75"/>
        <v>0.2</v>
      </c>
      <c r="E206" s="1">
        <f t="shared" si="76"/>
        <v>0</v>
      </c>
      <c r="F206" s="1">
        <f t="shared" si="77"/>
        <v>0.2</v>
      </c>
      <c r="G206" s="1">
        <f t="shared" si="78"/>
        <v>0.2</v>
      </c>
      <c r="H206" s="1">
        <f t="shared" si="79"/>
        <v>0</v>
      </c>
      <c r="I206" s="1">
        <f t="shared" si="80"/>
        <v>0</v>
      </c>
    </row>
    <row r="207" spans="1:9" x14ac:dyDescent="0.3">
      <c r="A207" t="s">
        <v>319</v>
      </c>
      <c r="D207" s="1">
        <f>SUM(Table391012182126[Max])</f>
        <v>3.0500000000000003</v>
      </c>
      <c r="E207" s="1">
        <f>SUM(Table391012182126[W])</f>
        <v>1.45</v>
      </c>
      <c r="F207" s="1">
        <f>SUM(Table391012182126[WW])</f>
        <v>3.0500000000000003</v>
      </c>
      <c r="G207" s="1">
        <f>SUM(Table391012182126[I])</f>
        <v>3.0500000000000003</v>
      </c>
      <c r="H207" s="1">
        <f>SUM(Table391012182126[D])</f>
        <v>0.25</v>
      </c>
      <c r="I207" s="1">
        <f>SUM(Table391012182126[C])</f>
        <v>0.65</v>
      </c>
    </row>
    <row r="209" spans="1:9" x14ac:dyDescent="0.3">
      <c r="A209" s="6" t="s">
        <v>2118</v>
      </c>
      <c r="I209" s="63">
        <f>(D220)*10*20*0.9</f>
        <v>269.99999999999994</v>
      </c>
    </row>
    <row r="210" spans="1:9" x14ac:dyDescent="0.3">
      <c r="A210" t="s">
        <v>1898</v>
      </c>
      <c r="B210" t="s">
        <v>279</v>
      </c>
      <c r="C210" t="s">
        <v>1900</v>
      </c>
      <c r="D210" s="1" t="s">
        <v>1187</v>
      </c>
      <c r="E210" s="1" t="s">
        <v>22</v>
      </c>
      <c r="F210" s="1" t="s">
        <v>23</v>
      </c>
      <c r="G210" s="1" t="s">
        <v>26</v>
      </c>
      <c r="H210" s="1" t="s">
        <v>25</v>
      </c>
      <c r="I210" s="1" t="s">
        <v>24</v>
      </c>
    </row>
    <row r="211" spans="1:9" x14ac:dyDescent="0.3">
      <c r="A211" s="62" t="s">
        <v>56</v>
      </c>
      <c r="B211" t="str">
        <f t="shared" ref="B211:B219" si="81">LOOKUP($A211,$AE:$AE,AF:AF)</f>
        <v>Aeration Systems</v>
      </c>
      <c r="C211" t="str">
        <f t="shared" ref="C211:C219" si="82">LOOKUP($A211,$AE:$AE,AG:AG)</f>
        <v>25-09505-001</v>
      </c>
      <c r="D211" s="1">
        <f t="shared" ref="D211:D219" si="83">LOOKUP($A211,$AE:$AE,AH:AH)</f>
        <v>0.15</v>
      </c>
      <c r="E211" s="1">
        <f t="shared" ref="E211:E219" si="84">LOOKUP($A211,$AE:$AE,AI:AI)</f>
        <v>0.15</v>
      </c>
      <c r="F211" s="1">
        <f t="shared" ref="F211:F219" si="85">LOOKUP($A211,$AE:$AE,AJ:AJ)</f>
        <v>0.15</v>
      </c>
      <c r="G211" s="1">
        <f t="shared" ref="G211:G219" si="86">LOOKUP($A211,$AE:$AE,AK:AK)</f>
        <v>0.15</v>
      </c>
      <c r="H211" s="1">
        <f t="shared" ref="H211:H219" si="87">LOOKUP($A211,$AE:$AE,AL:AL)</f>
        <v>0</v>
      </c>
      <c r="I211" s="1">
        <f t="shared" ref="I211:I219" si="88">LOOKUP($A211,$AE:$AE,AM:AM)</f>
        <v>0</v>
      </c>
    </row>
    <row r="212" spans="1:9" x14ac:dyDescent="0.3">
      <c r="A212" s="62" t="s">
        <v>68</v>
      </c>
      <c r="B212" t="str">
        <f t="shared" si="81"/>
        <v>Biological Treatment Basics</v>
      </c>
      <c r="C212" t="str">
        <f t="shared" si="82"/>
        <v>25-07222-001</v>
      </c>
      <c r="D212" s="1">
        <f t="shared" si="83"/>
        <v>0.15</v>
      </c>
      <c r="E212" s="1">
        <f t="shared" si="84"/>
        <v>0</v>
      </c>
      <c r="F212" s="1">
        <f t="shared" si="85"/>
        <v>0.15</v>
      </c>
      <c r="G212" s="1">
        <f t="shared" si="86"/>
        <v>0.15</v>
      </c>
      <c r="H212" s="1">
        <f t="shared" si="87"/>
        <v>0</v>
      </c>
      <c r="I212" s="1">
        <f t="shared" si="88"/>
        <v>0</v>
      </c>
    </row>
    <row r="213" spans="1:9" x14ac:dyDescent="0.3">
      <c r="A213" s="62" t="s">
        <v>74</v>
      </c>
      <c r="B213" t="str">
        <f t="shared" si="81"/>
        <v>Top 10 Questions for Activated Sludge Process Control</v>
      </c>
      <c r="C213" t="str">
        <f t="shared" si="82"/>
        <v>25-07727-001</v>
      </c>
      <c r="D213" s="1">
        <f t="shared" si="83"/>
        <v>0.25</v>
      </c>
      <c r="E213" s="1">
        <f t="shared" si="84"/>
        <v>0</v>
      </c>
      <c r="F213" s="1">
        <f t="shared" si="85"/>
        <v>0.25</v>
      </c>
      <c r="G213" s="1">
        <f t="shared" si="86"/>
        <v>0.25</v>
      </c>
      <c r="H213" s="1">
        <f t="shared" si="87"/>
        <v>0</v>
      </c>
      <c r="I213" s="1">
        <f t="shared" si="88"/>
        <v>0</v>
      </c>
    </row>
    <row r="214" spans="1:9" x14ac:dyDescent="0.3">
      <c r="A214" s="62" t="s">
        <v>892</v>
      </c>
      <c r="B214" t="str">
        <f t="shared" si="81"/>
        <v>Activated Sludge Microbiology: A View Beneath the Surface</v>
      </c>
      <c r="C214" t="str">
        <f t="shared" si="82"/>
        <v>25-08900-001</v>
      </c>
      <c r="D214" s="1">
        <f t="shared" si="83"/>
        <v>0.1</v>
      </c>
      <c r="E214" s="1">
        <f t="shared" si="84"/>
        <v>0</v>
      </c>
      <c r="F214" s="1">
        <f t="shared" si="85"/>
        <v>0.1</v>
      </c>
      <c r="G214" s="1">
        <f t="shared" si="86"/>
        <v>0.1</v>
      </c>
      <c r="H214" s="1">
        <f t="shared" si="87"/>
        <v>0</v>
      </c>
      <c r="I214" s="1">
        <f t="shared" si="88"/>
        <v>0</v>
      </c>
    </row>
    <row r="215" spans="1:9" x14ac:dyDescent="0.3">
      <c r="A215" s="62" t="s">
        <v>893</v>
      </c>
      <c r="B215" t="str">
        <f t="shared" si="81"/>
        <v>Activated Sludge Microbiology: Microscope Basics and the Micro Exam</v>
      </c>
      <c r="C215" t="str">
        <f t="shared" si="82"/>
        <v>25-08901-001</v>
      </c>
      <c r="D215" s="1">
        <f t="shared" si="83"/>
        <v>0.1</v>
      </c>
      <c r="E215" s="1">
        <f t="shared" si="84"/>
        <v>0</v>
      </c>
      <c r="F215" s="1">
        <f t="shared" si="85"/>
        <v>0.1</v>
      </c>
      <c r="G215" s="1">
        <f t="shared" si="86"/>
        <v>0.1</v>
      </c>
      <c r="H215" s="1">
        <f t="shared" si="87"/>
        <v>0</v>
      </c>
      <c r="I215" s="1">
        <f t="shared" si="88"/>
        <v>0</v>
      </c>
    </row>
    <row r="216" spans="1:9" x14ac:dyDescent="0.3">
      <c r="A216" s="62" t="s">
        <v>75</v>
      </c>
      <c r="B216" t="str">
        <f t="shared" si="81"/>
        <v>Activated Sludge Microbiology: Filaments and Settling Problems</v>
      </c>
      <c r="C216" t="str">
        <f t="shared" si="82"/>
        <v>25-08902-001</v>
      </c>
      <c r="D216" s="1">
        <f t="shared" si="83"/>
        <v>0.1</v>
      </c>
      <c r="E216" s="1">
        <f t="shared" si="84"/>
        <v>0</v>
      </c>
      <c r="F216" s="1">
        <f t="shared" si="85"/>
        <v>0.1</v>
      </c>
      <c r="G216" s="1">
        <f t="shared" si="86"/>
        <v>0.1</v>
      </c>
      <c r="H216" s="1">
        <f t="shared" si="87"/>
        <v>0</v>
      </c>
      <c r="I216" s="1">
        <f t="shared" si="88"/>
        <v>0</v>
      </c>
    </row>
    <row r="217" spans="1:9" x14ac:dyDescent="0.3">
      <c r="A217" s="62" t="s">
        <v>78</v>
      </c>
      <c r="B217" t="str">
        <f t="shared" si="81"/>
        <v>Nitrification and Denitrification</v>
      </c>
      <c r="C217" t="str">
        <f t="shared" si="82"/>
        <v>25-06016-001</v>
      </c>
      <c r="D217" s="1">
        <f t="shared" si="83"/>
        <v>0.3</v>
      </c>
      <c r="E217" s="1">
        <f t="shared" si="84"/>
        <v>0.3</v>
      </c>
      <c r="F217" s="1">
        <f t="shared" si="85"/>
        <v>0.3</v>
      </c>
      <c r="G217" s="1">
        <f t="shared" si="86"/>
        <v>0.3</v>
      </c>
      <c r="H217" s="1">
        <f t="shared" si="87"/>
        <v>0</v>
      </c>
      <c r="I217" s="1">
        <f t="shared" si="88"/>
        <v>0</v>
      </c>
    </row>
    <row r="218" spans="1:9" x14ac:dyDescent="0.3">
      <c r="A218" s="62" t="s">
        <v>79</v>
      </c>
      <c r="B218" t="str">
        <f t="shared" si="81"/>
        <v>Biological and Chemical Phosphorus Removal</v>
      </c>
      <c r="C218" t="str">
        <f t="shared" si="82"/>
        <v>25-06017-001</v>
      </c>
      <c r="D218" s="1">
        <f t="shared" si="83"/>
        <v>0.2</v>
      </c>
      <c r="E218" s="1">
        <f t="shared" si="84"/>
        <v>0</v>
      </c>
      <c r="F218" s="1">
        <f t="shared" si="85"/>
        <v>0.2</v>
      </c>
      <c r="G218" s="1">
        <f t="shared" si="86"/>
        <v>0.2</v>
      </c>
      <c r="H218" s="1">
        <f t="shared" si="87"/>
        <v>0</v>
      </c>
      <c r="I218" s="1">
        <f t="shared" si="88"/>
        <v>0</v>
      </c>
    </row>
    <row r="219" spans="1:9" x14ac:dyDescent="0.3">
      <c r="A219" s="62" t="s">
        <v>80</v>
      </c>
      <c r="B219" t="str">
        <f t="shared" si="81"/>
        <v>State Point Analysis for Secondary Clarifiers</v>
      </c>
      <c r="C219" t="str">
        <f t="shared" si="82"/>
        <v>25-06018-001</v>
      </c>
      <c r="D219" s="1">
        <f t="shared" si="83"/>
        <v>0.15</v>
      </c>
      <c r="E219" s="1">
        <f t="shared" si="84"/>
        <v>0.15</v>
      </c>
      <c r="F219" s="1">
        <f t="shared" si="85"/>
        <v>0.15</v>
      </c>
      <c r="G219" s="1">
        <f t="shared" si="86"/>
        <v>0.15</v>
      </c>
      <c r="H219" s="1">
        <f t="shared" si="87"/>
        <v>0</v>
      </c>
      <c r="I219" s="1">
        <f t="shared" si="88"/>
        <v>0</v>
      </c>
    </row>
    <row r="220" spans="1:9" x14ac:dyDescent="0.3">
      <c r="A220" t="s">
        <v>319</v>
      </c>
      <c r="D220" s="1">
        <f>SUM(Table39101218212628[Max])</f>
        <v>1.4999999999999998</v>
      </c>
      <c r="E220" s="1">
        <f>SUM(Table39101218212628[W])</f>
        <v>0.6</v>
      </c>
      <c r="F220" s="1">
        <f>SUM(Table39101218212628[WW])</f>
        <v>1.4999999999999998</v>
      </c>
      <c r="G220" s="1">
        <f>SUM(Table39101218212628[I])</f>
        <v>1.4999999999999998</v>
      </c>
      <c r="H220" s="1">
        <f>SUM(Table39101218212628[D])</f>
        <v>0</v>
      </c>
      <c r="I220" s="1">
        <f>SUM(Table39101218212628[C])</f>
        <v>0</v>
      </c>
    </row>
    <row r="222" spans="1:9" x14ac:dyDescent="0.3">
      <c r="A222" s="6" t="s">
        <v>2119</v>
      </c>
      <c r="I222" s="63">
        <f>(D230)*10*20*0.9</f>
        <v>224.99999999999997</v>
      </c>
    </row>
    <row r="223" spans="1:9" x14ac:dyDescent="0.3">
      <c r="A223" t="s">
        <v>1898</v>
      </c>
      <c r="B223" t="s">
        <v>279</v>
      </c>
      <c r="C223" t="s">
        <v>1900</v>
      </c>
      <c r="D223" s="1" t="s">
        <v>1187</v>
      </c>
      <c r="E223" s="1" t="s">
        <v>22</v>
      </c>
      <c r="F223" s="1" t="s">
        <v>23</v>
      </c>
      <c r="G223" s="1" t="s">
        <v>26</v>
      </c>
      <c r="H223" s="1" t="s">
        <v>25</v>
      </c>
      <c r="I223" s="1" t="s">
        <v>24</v>
      </c>
    </row>
    <row r="224" spans="1:9" x14ac:dyDescent="0.3">
      <c r="A224" s="62" t="s">
        <v>84</v>
      </c>
      <c r="B224" t="str">
        <f t="shared" ref="B224:I229" si="89">LOOKUP($A224,$AE:$AE,AF:AF)</f>
        <v>Introduction to Solids Handling and 503 Regulations</v>
      </c>
      <c r="C224" t="str">
        <f t="shared" si="89"/>
        <v>25-06022-002</v>
      </c>
      <c r="D224" s="1">
        <f t="shared" si="89"/>
        <v>0.15</v>
      </c>
      <c r="E224" s="1">
        <f t="shared" si="89"/>
        <v>0</v>
      </c>
      <c r="F224" s="1">
        <f t="shared" si="89"/>
        <v>0.15</v>
      </c>
      <c r="G224" s="1">
        <f t="shared" si="89"/>
        <v>0</v>
      </c>
      <c r="H224" s="1">
        <f t="shared" si="89"/>
        <v>0</v>
      </c>
      <c r="I224" s="1">
        <f t="shared" si="89"/>
        <v>0</v>
      </c>
    </row>
    <row r="225" spans="1:9" x14ac:dyDescent="0.3">
      <c r="A225" s="62" t="s">
        <v>85</v>
      </c>
      <c r="B225" t="str">
        <f t="shared" si="89"/>
        <v>Aerobic and Anaerobic Digestion</v>
      </c>
      <c r="C225" t="str">
        <f t="shared" si="89"/>
        <v>25-06023-001</v>
      </c>
      <c r="D225" s="1">
        <f t="shared" si="89"/>
        <v>0.3</v>
      </c>
      <c r="E225" s="1">
        <f t="shared" si="89"/>
        <v>0</v>
      </c>
      <c r="F225" s="1">
        <f t="shared" si="89"/>
        <v>0.3</v>
      </c>
      <c r="G225" s="1">
        <f t="shared" si="89"/>
        <v>0.3</v>
      </c>
      <c r="H225" s="1">
        <f t="shared" si="89"/>
        <v>0</v>
      </c>
      <c r="I225" s="1">
        <f t="shared" si="89"/>
        <v>0</v>
      </c>
    </row>
    <row r="226" spans="1:9" x14ac:dyDescent="0.3">
      <c r="A226" s="62" t="s">
        <v>86</v>
      </c>
      <c r="B226" t="str">
        <f t="shared" si="89"/>
        <v>Belt Filter Presses</v>
      </c>
      <c r="C226" t="str">
        <f t="shared" si="89"/>
        <v>25-06024-001</v>
      </c>
      <c r="D226" s="1">
        <f t="shared" si="89"/>
        <v>0.2</v>
      </c>
      <c r="E226" s="1">
        <f t="shared" si="89"/>
        <v>0.2</v>
      </c>
      <c r="F226" s="1">
        <f t="shared" si="89"/>
        <v>0.2</v>
      </c>
      <c r="G226" s="1">
        <f t="shared" si="89"/>
        <v>0.2</v>
      </c>
      <c r="H226" s="1">
        <f t="shared" si="89"/>
        <v>0</v>
      </c>
      <c r="I226" s="1">
        <f t="shared" si="89"/>
        <v>0</v>
      </c>
    </row>
    <row r="227" spans="1:9" x14ac:dyDescent="0.3">
      <c r="A227" s="62" t="s">
        <v>87</v>
      </c>
      <c r="B227" t="str">
        <f t="shared" si="89"/>
        <v>Centrifuges</v>
      </c>
      <c r="C227" t="str">
        <f t="shared" si="89"/>
        <v>25-06025-001</v>
      </c>
      <c r="D227" s="1">
        <f t="shared" si="89"/>
        <v>0.2</v>
      </c>
      <c r="E227" s="1">
        <f t="shared" si="89"/>
        <v>0.2</v>
      </c>
      <c r="F227" s="1">
        <f t="shared" si="89"/>
        <v>0.2</v>
      </c>
      <c r="G227" s="1">
        <f t="shared" si="89"/>
        <v>0.2</v>
      </c>
      <c r="H227" s="1">
        <f t="shared" si="89"/>
        <v>0</v>
      </c>
      <c r="I227" s="1">
        <f t="shared" si="89"/>
        <v>0</v>
      </c>
    </row>
    <row r="228" spans="1:9" x14ac:dyDescent="0.3">
      <c r="A228" s="62" t="str">
        <f>AE88</f>
        <v>WWT-026</v>
      </c>
      <c r="B228" t="str">
        <f t="shared" si="89"/>
        <v>Odor Control</v>
      </c>
      <c r="C228" t="str">
        <f t="shared" si="89"/>
        <v>25-06026-001</v>
      </c>
      <c r="D228" s="1">
        <f t="shared" si="89"/>
        <v>0.2</v>
      </c>
      <c r="E228" s="1">
        <f t="shared" si="89"/>
        <v>0</v>
      </c>
      <c r="F228" s="1">
        <f t="shared" si="89"/>
        <v>0.2</v>
      </c>
      <c r="G228" s="1">
        <f t="shared" si="89"/>
        <v>0.2</v>
      </c>
      <c r="H228" s="1">
        <f t="shared" si="89"/>
        <v>0</v>
      </c>
      <c r="I228" s="1">
        <f t="shared" si="89"/>
        <v>0.2</v>
      </c>
    </row>
    <row r="229" spans="1:9" x14ac:dyDescent="0.3">
      <c r="A229" s="62" t="s">
        <v>1873</v>
      </c>
      <c r="B229" t="str">
        <f t="shared" si="89"/>
        <v>Gravity and Dissolved Air Floatation Thickeners</v>
      </c>
      <c r="C229" t="str">
        <f t="shared" si="89"/>
        <v>25-10671-001</v>
      </c>
      <c r="D229" s="1">
        <f t="shared" si="89"/>
        <v>0.2</v>
      </c>
      <c r="E229" s="1">
        <f t="shared" si="89"/>
        <v>0</v>
      </c>
      <c r="F229" s="1">
        <f t="shared" si="89"/>
        <v>0.2</v>
      </c>
      <c r="G229" s="1">
        <f t="shared" si="89"/>
        <v>0.2</v>
      </c>
      <c r="H229" s="1">
        <f t="shared" si="89"/>
        <v>0</v>
      </c>
      <c r="I229" s="1">
        <f t="shared" si="89"/>
        <v>0</v>
      </c>
    </row>
    <row r="230" spans="1:9" x14ac:dyDescent="0.3">
      <c r="A230" t="s">
        <v>319</v>
      </c>
      <c r="D230" s="1">
        <f>SUM(Table3910121821262829[Max])</f>
        <v>1.2499999999999998</v>
      </c>
      <c r="E230" s="1">
        <f>SUM(Table3910121821262829[W])</f>
        <v>0.4</v>
      </c>
      <c r="F230" s="1">
        <f>SUM(Table3910121821262829[WW])</f>
        <v>1.2499999999999998</v>
      </c>
      <c r="G230" s="1">
        <f>SUM(Table3910121821262829[I])</f>
        <v>1.0999999999999999</v>
      </c>
      <c r="H230" s="1">
        <f>SUM(Table3910121821262829[D])</f>
        <v>0</v>
      </c>
      <c r="I230" s="1">
        <f>SUM(Table3910121821262829[C])</f>
        <v>0.2</v>
      </c>
    </row>
    <row r="232" spans="1:9" x14ac:dyDescent="0.3">
      <c r="A232" s="6" t="s">
        <v>2120</v>
      </c>
      <c r="I232" s="63">
        <f>(D240-0.25)*10*20*0.9</f>
        <v>189</v>
      </c>
    </row>
    <row r="233" spans="1:9" x14ac:dyDescent="0.3">
      <c r="A233" t="s">
        <v>1898</v>
      </c>
      <c r="B233" t="s">
        <v>279</v>
      </c>
      <c r="C233" t="s">
        <v>1900</v>
      </c>
      <c r="D233" s="1" t="s">
        <v>1187</v>
      </c>
      <c r="E233" s="1" t="s">
        <v>22</v>
      </c>
      <c r="F233" s="1" t="s">
        <v>23</v>
      </c>
      <c r="G233" s="1" t="s">
        <v>26</v>
      </c>
      <c r="H233" s="1" t="s">
        <v>25</v>
      </c>
      <c r="I233" s="1" t="s">
        <v>24</v>
      </c>
    </row>
    <row r="234" spans="1:9" x14ac:dyDescent="0.3">
      <c r="A234" s="62" t="s">
        <v>53</v>
      </c>
      <c r="B234" t="str">
        <f t="shared" ref="B234:I239" si="90">LOOKUP($A234,$AE:$AE,AF:AF)</f>
        <v>Pumps</v>
      </c>
      <c r="C234" t="str">
        <f t="shared" si="90"/>
        <v>25-06046-002</v>
      </c>
      <c r="D234" s="1">
        <f t="shared" si="90"/>
        <v>0.2</v>
      </c>
      <c r="E234" s="1">
        <f t="shared" si="90"/>
        <v>0.2</v>
      </c>
      <c r="F234" s="1">
        <f t="shared" si="90"/>
        <v>0.2</v>
      </c>
      <c r="G234" s="1">
        <f t="shared" si="90"/>
        <v>0.2</v>
      </c>
      <c r="H234" s="1">
        <f t="shared" si="90"/>
        <v>0.2</v>
      </c>
      <c r="I234" s="1">
        <f t="shared" si="90"/>
        <v>0.2</v>
      </c>
    </row>
    <row r="235" spans="1:9" x14ac:dyDescent="0.3">
      <c r="A235" s="62" t="s">
        <v>58</v>
      </c>
      <c r="B235" t="str">
        <f t="shared" si="90"/>
        <v>Introduction to Collections Systems</v>
      </c>
      <c r="C235" t="str">
        <f t="shared" si="90"/>
        <v>25-06000-002</v>
      </c>
      <c r="D235" s="1">
        <f t="shared" si="90"/>
        <v>0.15</v>
      </c>
      <c r="E235" s="1">
        <f t="shared" si="90"/>
        <v>0</v>
      </c>
      <c r="F235" s="1">
        <f t="shared" si="90"/>
        <v>0</v>
      </c>
      <c r="G235" s="1">
        <f t="shared" si="90"/>
        <v>0</v>
      </c>
      <c r="H235" s="1">
        <f t="shared" si="90"/>
        <v>0</v>
      </c>
      <c r="I235" s="1">
        <f t="shared" si="90"/>
        <v>0.15</v>
      </c>
    </row>
    <row r="236" spans="1:9" x14ac:dyDescent="0.3">
      <c r="A236" s="62" t="s">
        <v>59</v>
      </c>
      <c r="B236" t="str">
        <f t="shared" si="90"/>
        <v>Collection System Inspection, Testing, and Cleaning - Part 1</v>
      </c>
      <c r="C236" t="str">
        <f t="shared" si="90"/>
        <v>25-06001-002</v>
      </c>
      <c r="D236" s="1">
        <f t="shared" si="90"/>
        <v>0.25</v>
      </c>
      <c r="E236" s="1">
        <f t="shared" si="90"/>
        <v>0</v>
      </c>
      <c r="F236" s="1">
        <f t="shared" si="90"/>
        <v>0</v>
      </c>
      <c r="G236" s="1">
        <f t="shared" si="90"/>
        <v>0</v>
      </c>
      <c r="H236" s="1">
        <f t="shared" si="90"/>
        <v>0</v>
      </c>
      <c r="I236" s="1">
        <f t="shared" si="90"/>
        <v>0.25</v>
      </c>
    </row>
    <row r="237" spans="1:9" x14ac:dyDescent="0.3">
      <c r="A237" s="62" t="s">
        <v>60</v>
      </c>
      <c r="B237" t="str">
        <f t="shared" si="90"/>
        <v>Collection System Inspection, Testing, and Cleaning - Part 2</v>
      </c>
      <c r="C237" t="str">
        <f t="shared" si="90"/>
        <v>25-06002-002</v>
      </c>
      <c r="D237" s="1">
        <f t="shared" si="90"/>
        <v>0.25</v>
      </c>
      <c r="E237" s="1">
        <f t="shared" si="90"/>
        <v>0</v>
      </c>
      <c r="F237" s="1">
        <f t="shared" si="90"/>
        <v>0</v>
      </c>
      <c r="G237" s="1">
        <f t="shared" si="90"/>
        <v>0</v>
      </c>
      <c r="H237" s="1">
        <f t="shared" si="90"/>
        <v>0</v>
      </c>
      <c r="I237" s="1">
        <f t="shared" si="90"/>
        <v>0.25</v>
      </c>
    </row>
    <row r="238" spans="1:9" x14ac:dyDescent="0.3">
      <c r="A238" s="62" t="s">
        <v>61</v>
      </c>
      <c r="B238" t="str">
        <f t="shared" si="90"/>
        <v>Lift Stations</v>
      </c>
      <c r="C238" t="str">
        <f t="shared" si="90"/>
        <v>25-06003-001</v>
      </c>
      <c r="D238" s="1">
        <f t="shared" si="90"/>
        <v>0.2</v>
      </c>
      <c r="E238" s="1">
        <f t="shared" si="90"/>
        <v>0</v>
      </c>
      <c r="F238" s="1">
        <f t="shared" si="90"/>
        <v>0.2</v>
      </c>
      <c r="G238" s="1">
        <f t="shared" si="90"/>
        <v>0.2</v>
      </c>
      <c r="H238" s="1">
        <f t="shared" si="90"/>
        <v>0</v>
      </c>
      <c r="I238" s="1">
        <f t="shared" si="90"/>
        <v>0.2</v>
      </c>
    </row>
    <row r="239" spans="1:9" x14ac:dyDescent="0.3">
      <c r="A239" s="62" t="s">
        <v>699</v>
      </c>
      <c r="B239" t="str">
        <f t="shared" si="90"/>
        <v>MRT for Wastewater Treatment and Collection Systems</v>
      </c>
      <c r="C239" t="str">
        <f t="shared" si="90"/>
        <v>25-06840-002</v>
      </c>
      <c r="D239" s="1">
        <f t="shared" si="90"/>
        <v>0.25</v>
      </c>
      <c r="E239" s="1">
        <f t="shared" si="90"/>
        <v>0</v>
      </c>
      <c r="F239" s="1">
        <f t="shared" si="90"/>
        <v>0.25</v>
      </c>
      <c r="G239" s="1">
        <f t="shared" si="90"/>
        <v>0.25</v>
      </c>
      <c r="H239" s="1">
        <f t="shared" si="90"/>
        <v>0</v>
      </c>
      <c r="I239" s="1">
        <f t="shared" si="90"/>
        <v>0.25</v>
      </c>
    </row>
    <row r="240" spans="1:9" x14ac:dyDescent="0.3">
      <c r="A240" t="s">
        <v>319</v>
      </c>
      <c r="D240" s="1">
        <f>SUM(Table39101218212631[Max])</f>
        <v>1.3</v>
      </c>
      <c r="E240" s="1">
        <f>SUM(Table39101218212631[W])</f>
        <v>0.2</v>
      </c>
      <c r="F240" s="1">
        <f>SUM(Table39101218212631[WW])</f>
        <v>0.65</v>
      </c>
      <c r="G240" s="1">
        <f>SUM(Table39101218212631[I])</f>
        <v>0.65</v>
      </c>
      <c r="H240" s="1">
        <f>SUM(Table39101218212631[D])</f>
        <v>0.2</v>
      </c>
      <c r="I240" s="1">
        <f>SUM(Table39101218212631[C])</f>
        <v>1.3</v>
      </c>
    </row>
    <row r="242" spans="1:9" x14ac:dyDescent="0.3">
      <c r="A242" s="6" t="s">
        <v>2121</v>
      </c>
      <c r="I242" s="63">
        <f>(D255-0.25)*10*20*0.9</f>
        <v>297</v>
      </c>
    </row>
    <row r="243" spans="1:9" x14ac:dyDescent="0.3">
      <c r="A243" t="s">
        <v>1898</v>
      </c>
      <c r="B243" t="s">
        <v>279</v>
      </c>
      <c r="C243" t="s">
        <v>1900</v>
      </c>
      <c r="D243" s="1" t="s">
        <v>1187</v>
      </c>
      <c r="E243" s="1" t="s">
        <v>22</v>
      </c>
      <c r="F243" s="1" t="s">
        <v>23</v>
      </c>
      <c r="G243" s="1" t="s">
        <v>26</v>
      </c>
      <c r="H243" s="1" t="s">
        <v>25</v>
      </c>
      <c r="I243" s="1" t="s">
        <v>24</v>
      </c>
    </row>
    <row r="244" spans="1:9" x14ac:dyDescent="0.3">
      <c r="A244" s="62" t="s">
        <v>53</v>
      </c>
      <c r="B244" t="str">
        <f t="shared" ref="B244:B254" si="91">LOOKUP($A244,$AE:$AE,AF:AF)</f>
        <v>Pumps</v>
      </c>
      <c r="C244" t="str">
        <f t="shared" ref="C244:C254" si="92">LOOKUP($A244,$AE:$AE,AG:AG)</f>
        <v>25-06046-002</v>
      </c>
      <c r="D244" s="1">
        <f t="shared" ref="D244:D254" si="93">LOOKUP($A244,$AE:$AE,AH:AH)</f>
        <v>0.2</v>
      </c>
      <c r="E244" s="1">
        <f t="shared" ref="E244:E254" si="94">LOOKUP($A244,$AE:$AE,AI:AI)</f>
        <v>0.2</v>
      </c>
      <c r="F244" s="1">
        <f t="shared" ref="F244:F254" si="95">LOOKUP($A244,$AE:$AE,AJ:AJ)</f>
        <v>0.2</v>
      </c>
      <c r="G244" s="1">
        <f t="shared" ref="G244:G254" si="96">LOOKUP($A244,$AE:$AE,AK:AK)</f>
        <v>0.2</v>
      </c>
      <c r="H244" s="1">
        <f t="shared" ref="H244:H254" si="97">LOOKUP($A244,$AE:$AE,AL:AL)</f>
        <v>0.2</v>
      </c>
      <c r="I244" s="1">
        <f t="shared" ref="I244:I254" si="98">LOOKUP($A244,$AE:$AE,AM:AM)</f>
        <v>0.2</v>
      </c>
    </row>
    <row r="245" spans="1:9" x14ac:dyDescent="0.3">
      <c r="A245" s="62" t="s">
        <v>108</v>
      </c>
      <c r="B245" t="str">
        <f t="shared" si="91"/>
        <v>Electrical Fundamentals</v>
      </c>
      <c r="C245" t="str">
        <f t="shared" si="92"/>
        <v>25-05994-001</v>
      </c>
      <c r="D245" s="1">
        <f t="shared" si="93"/>
        <v>0.15</v>
      </c>
      <c r="E245" s="1">
        <f t="shared" si="94"/>
        <v>0.15</v>
      </c>
      <c r="F245" s="1">
        <f t="shared" si="95"/>
        <v>0.15</v>
      </c>
      <c r="G245" s="1">
        <f t="shared" si="96"/>
        <v>0.15</v>
      </c>
      <c r="H245" s="1">
        <f t="shared" si="97"/>
        <v>0.15</v>
      </c>
      <c r="I245" s="1">
        <f t="shared" si="98"/>
        <v>0.15</v>
      </c>
    </row>
    <row r="246" spans="1:9" x14ac:dyDescent="0.3">
      <c r="A246" s="62" t="s">
        <v>1052</v>
      </c>
      <c r="B246" t="str">
        <f t="shared" si="91"/>
        <v>Backflow Preventers</v>
      </c>
      <c r="C246" t="str">
        <f t="shared" si="92"/>
        <v>25-08959-001</v>
      </c>
      <c r="D246" s="1">
        <f t="shared" si="93"/>
        <v>0.05</v>
      </c>
      <c r="E246" s="1">
        <f t="shared" si="94"/>
        <v>0.05</v>
      </c>
      <c r="F246" s="1">
        <f t="shared" si="95"/>
        <v>0.05</v>
      </c>
      <c r="G246" s="1">
        <f t="shared" si="96"/>
        <v>0.05</v>
      </c>
      <c r="H246" s="1">
        <f t="shared" si="97"/>
        <v>0.05</v>
      </c>
      <c r="I246" s="1">
        <f t="shared" si="98"/>
        <v>0.05</v>
      </c>
    </row>
    <row r="247" spans="1:9" x14ac:dyDescent="0.3">
      <c r="A247" s="62" t="s">
        <v>58</v>
      </c>
      <c r="B247" t="str">
        <f t="shared" si="91"/>
        <v>Introduction to Collections Systems</v>
      </c>
      <c r="C247" t="str">
        <f t="shared" si="92"/>
        <v>25-06000-002</v>
      </c>
      <c r="D247" s="1">
        <f t="shared" si="93"/>
        <v>0.15</v>
      </c>
      <c r="E247" s="1">
        <f t="shared" si="94"/>
        <v>0</v>
      </c>
      <c r="F247" s="1">
        <f t="shared" si="95"/>
        <v>0</v>
      </c>
      <c r="G247" s="1">
        <f t="shared" si="96"/>
        <v>0</v>
      </c>
      <c r="H247" s="1">
        <f t="shared" si="97"/>
        <v>0</v>
      </c>
      <c r="I247" s="1">
        <f t="shared" si="98"/>
        <v>0.15</v>
      </c>
    </row>
    <row r="248" spans="1:9" x14ac:dyDescent="0.3">
      <c r="A248" s="62" t="s">
        <v>59</v>
      </c>
      <c r="B248" t="str">
        <f t="shared" si="91"/>
        <v>Collection System Inspection, Testing, and Cleaning - Part 1</v>
      </c>
      <c r="C248" t="str">
        <f t="shared" si="92"/>
        <v>25-06001-002</v>
      </c>
      <c r="D248" s="1">
        <f t="shared" si="93"/>
        <v>0.25</v>
      </c>
      <c r="E248" s="1">
        <f t="shared" si="94"/>
        <v>0</v>
      </c>
      <c r="F248" s="1">
        <f t="shared" si="95"/>
        <v>0</v>
      </c>
      <c r="G248" s="1">
        <f t="shared" si="96"/>
        <v>0</v>
      </c>
      <c r="H248" s="1">
        <f t="shared" si="97"/>
        <v>0</v>
      </c>
      <c r="I248" s="1">
        <f t="shared" si="98"/>
        <v>0.25</v>
      </c>
    </row>
    <row r="249" spans="1:9" x14ac:dyDescent="0.3">
      <c r="A249" s="62" t="s">
        <v>60</v>
      </c>
      <c r="B249" t="str">
        <f t="shared" si="91"/>
        <v>Collection System Inspection, Testing, and Cleaning - Part 2</v>
      </c>
      <c r="C249" t="str">
        <f t="shared" si="92"/>
        <v>25-06002-002</v>
      </c>
      <c r="D249" s="1">
        <f t="shared" si="93"/>
        <v>0.25</v>
      </c>
      <c r="E249" s="1">
        <f t="shared" si="94"/>
        <v>0</v>
      </c>
      <c r="F249" s="1">
        <f t="shared" si="95"/>
        <v>0</v>
      </c>
      <c r="G249" s="1">
        <f t="shared" si="96"/>
        <v>0</v>
      </c>
      <c r="H249" s="1">
        <f t="shared" si="97"/>
        <v>0</v>
      </c>
      <c r="I249" s="1">
        <f t="shared" si="98"/>
        <v>0.25</v>
      </c>
    </row>
    <row r="250" spans="1:9" x14ac:dyDescent="0.3">
      <c r="A250" s="62" t="s">
        <v>61</v>
      </c>
      <c r="B250" t="str">
        <f t="shared" si="91"/>
        <v>Lift Stations</v>
      </c>
      <c r="C250" t="str">
        <f t="shared" si="92"/>
        <v>25-06003-001</v>
      </c>
      <c r="D250" s="1">
        <f t="shared" si="93"/>
        <v>0.2</v>
      </c>
      <c r="E250" s="1">
        <f t="shared" si="94"/>
        <v>0</v>
      </c>
      <c r="F250" s="1">
        <f t="shared" si="95"/>
        <v>0.2</v>
      </c>
      <c r="G250" s="1">
        <f t="shared" si="96"/>
        <v>0.2</v>
      </c>
      <c r="H250" s="1">
        <f t="shared" si="97"/>
        <v>0</v>
      </c>
      <c r="I250" s="1">
        <f t="shared" si="98"/>
        <v>0.2</v>
      </c>
    </row>
    <row r="251" spans="1:9" x14ac:dyDescent="0.3">
      <c r="A251" s="62" t="s">
        <v>169</v>
      </c>
      <c r="B251" t="str">
        <f t="shared" si="91"/>
        <v>Manholes</v>
      </c>
      <c r="C251" t="str">
        <f t="shared" si="92"/>
        <v>25-06005-001</v>
      </c>
      <c r="D251" s="1">
        <f t="shared" si="93"/>
        <v>0.1</v>
      </c>
      <c r="E251" s="1">
        <f t="shared" si="94"/>
        <v>0</v>
      </c>
      <c r="F251" s="1">
        <f t="shared" si="95"/>
        <v>0</v>
      </c>
      <c r="G251" s="1">
        <f t="shared" si="96"/>
        <v>0</v>
      </c>
      <c r="H251" s="1">
        <f t="shared" si="97"/>
        <v>0</v>
      </c>
      <c r="I251" s="1">
        <f t="shared" si="98"/>
        <v>0.1</v>
      </c>
    </row>
    <row r="252" spans="1:9" x14ac:dyDescent="0.3">
      <c r="A252" s="62" t="s">
        <v>63</v>
      </c>
      <c r="B252" t="str">
        <f t="shared" si="91"/>
        <v>Trenching and Shoring</v>
      </c>
      <c r="C252" t="str">
        <f t="shared" si="92"/>
        <v>25-05998-001</v>
      </c>
      <c r="D252" s="1">
        <f t="shared" si="93"/>
        <v>0.25</v>
      </c>
      <c r="E252" s="1">
        <f t="shared" si="94"/>
        <v>0</v>
      </c>
      <c r="F252" s="1">
        <f t="shared" si="95"/>
        <v>0</v>
      </c>
      <c r="G252" s="1">
        <f t="shared" si="96"/>
        <v>0</v>
      </c>
      <c r="H252" s="1">
        <f t="shared" si="97"/>
        <v>0.25</v>
      </c>
      <c r="I252" s="1">
        <f t="shared" si="98"/>
        <v>0.25</v>
      </c>
    </row>
    <row r="253" spans="1:9" x14ac:dyDescent="0.3">
      <c r="A253" s="62" t="s">
        <v>1411</v>
      </c>
      <c r="B253" t="str">
        <f t="shared" si="91"/>
        <v>Demolition Saws</v>
      </c>
      <c r="C253" t="str">
        <f t="shared" si="92"/>
        <v>25-09506-001</v>
      </c>
      <c r="D253" s="1">
        <f t="shared" si="93"/>
        <v>0.05</v>
      </c>
      <c r="E253" s="1">
        <f t="shared" si="94"/>
        <v>0.05</v>
      </c>
      <c r="F253" s="1">
        <f t="shared" si="95"/>
        <v>0.05</v>
      </c>
      <c r="G253" s="1">
        <f t="shared" si="96"/>
        <v>0.05</v>
      </c>
      <c r="H253" s="1">
        <f t="shared" si="97"/>
        <v>0.05</v>
      </c>
      <c r="I253" s="1">
        <f t="shared" si="98"/>
        <v>0.05</v>
      </c>
    </row>
    <row r="254" spans="1:9" x14ac:dyDescent="0.3">
      <c r="A254" s="62" t="s">
        <v>699</v>
      </c>
      <c r="B254" t="str">
        <f t="shared" si="91"/>
        <v>MRT for Wastewater Treatment and Collection Systems</v>
      </c>
      <c r="C254" t="str">
        <f t="shared" si="92"/>
        <v>25-06840-002</v>
      </c>
      <c r="D254" s="1">
        <f t="shared" si="93"/>
        <v>0.25</v>
      </c>
      <c r="E254" s="1">
        <f t="shared" si="94"/>
        <v>0</v>
      </c>
      <c r="F254" s="1">
        <f t="shared" si="95"/>
        <v>0.25</v>
      </c>
      <c r="G254" s="1">
        <f t="shared" si="96"/>
        <v>0.25</v>
      </c>
      <c r="H254" s="1">
        <f t="shared" si="97"/>
        <v>0</v>
      </c>
      <c r="I254" s="1">
        <f t="shared" si="98"/>
        <v>0.25</v>
      </c>
    </row>
    <row r="255" spans="1:9" x14ac:dyDescent="0.3">
      <c r="A255" t="s">
        <v>319</v>
      </c>
      <c r="D255" s="1">
        <f>SUM(Table3910121821263133[Max])</f>
        <v>1.9</v>
      </c>
      <c r="E255" s="1">
        <f>SUM(Table3910121821263133[W])</f>
        <v>0.44999999999999996</v>
      </c>
      <c r="F255" s="1">
        <f>SUM(Table3910121821263133[WW])</f>
        <v>0.9</v>
      </c>
      <c r="G255" s="1">
        <f>SUM(Table3910121821263133[I])</f>
        <v>0.9</v>
      </c>
      <c r="H255" s="1">
        <f>SUM(Table3910121821263133[D])</f>
        <v>0.7</v>
      </c>
      <c r="I255" s="1">
        <f>SUM(Table3910121821263133[C])</f>
        <v>1.9</v>
      </c>
    </row>
    <row r="257" spans="1:9" x14ac:dyDescent="0.3">
      <c r="A257" s="6" t="s">
        <v>2122</v>
      </c>
      <c r="I257" s="63">
        <f>(D273-0.25)*10*20*0.9</f>
        <v>405</v>
      </c>
    </row>
    <row r="258" spans="1:9" x14ac:dyDescent="0.3">
      <c r="A258" t="s">
        <v>1898</v>
      </c>
      <c r="B258" t="s">
        <v>279</v>
      </c>
      <c r="C258" t="s">
        <v>1900</v>
      </c>
      <c r="D258" s="1" t="s">
        <v>1187</v>
      </c>
      <c r="E258" s="1" t="s">
        <v>22</v>
      </c>
      <c r="F258" s="1" t="s">
        <v>23</v>
      </c>
      <c r="G258" s="1" t="s">
        <v>26</v>
      </c>
      <c r="H258" s="1" t="s">
        <v>25</v>
      </c>
      <c r="I258" s="1" t="s">
        <v>24</v>
      </c>
    </row>
    <row r="259" spans="1:9" x14ac:dyDescent="0.3">
      <c r="A259" s="62" t="s">
        <v>53</v>
      </c>
      <c r="B259" t="str">
        <f t="shared" ref="B259:B272" si="99">LOOKUP($A259,$AE:$AE,AF:AF)</f>
        <v>Pumps</v>
      </c>
      <c r="C259" t="str">
        <f t="shared" ref="C259:C272" si="100">LOOKUP($A259,$AE:$AE,AG:AG)</f>
        <v>25-06046-002</v>
      </c>
      <c r="D259" s="1">
        <f t="shared" ref="D259:D272" si="101">LOOKUP($A259,$AE:$AE,AH:AH)</f>
        <v>0.2</v>
      </c>
      <c r="E259" s="1">
        <f t="shared" ref="E259:E272" si="102">LOOKUP($A259,$AE:$AE,AI:AI)</f>
        <v>0.2</v>
      </c>
      <c r="F259" s="1">
        <f t="shared" ref="F259:F272" si="103">LOOKUP($A259,$AE:$AE,AJ:AJ)</f>
        <v>0.2</v>
      </c>
      <c r="G259" s="1">
        <f t="shared" ref="G259:G272" si="104">LOOKUP($A259,$AE:$AE,AK:AK)</f>
        <v>0.2</v>
      </c>
      <c r="H259" s="1">
        <f t="shared" ref="H259:H272" si="105">LOOKUP($A259,$AE:$AE,AL:AL)</f>
        <v>0.2</v>
      </c>
      <c r="I259" s="1">
        <f t="shared" ref="I259:I272" si="106">LOOKUP($A259,$AE:$AE,AM:AM)</f>
        <v>0.2</v>
      </c>
    </row>
    <row r="260" spans="1:9" x14ac:dyDescent="0.3">
      <c r="A260" s="62" t="s">
        <v>54</v>
      </c>
      <c r="B260" t="str">
        <f t="shared" si="99"/>
        <v>Hydraulics Basics</v>
      </c>
      <c r="C260" t="str">
        <f t="shared" si="100"/>
        <v>25-05990-001</v>
      </c>
      <c r="D260" s="1">
        <f t="shared" si="101"/>
        <v>0.15</v>
      </c>
      <c r="E260" s="1">
        <f t="shared" si="102"/>
        <v>0.15</v>
      </c>
      <c r="F260" s="1">
        <f t="shared" si="103"/>
        <v>0.15</v>
      </c>
      <c r="G260" s="1">
        <f t="shared" si="104"/>
        <v>0.15</v>
      </c>
      <c r="H260" s="1">
        <f t="shared" si="105"/>
        <v>0.15</v>
      </c>
      <c r="I260" s="1">
        <f t="shared" si="106"/>
        <v>0.15</v>
      </c>
    </row>
    <row r="261" spans="1:9" x14ac:dyDescent="0.3">
      <c r="A261" s="62" t="s">
        <v>57</v>
      </c>
      <c r="B261" t="str">
        <f t="shared" si="99"/>
        <v>Corrosion Control</v>
      </c>
      <c r="C261" t="str">
        <f t="shared" si="100"/>
        <v>25-05992-001</v>
      </c>
      <c r="D261" s="1">
        <f t="shared" si="101"/>
        <v>0.25</v>
      </c>
      <c r="E261" s="1">
        <f t="shared" si="102"/>
        <v>0.25</v>
      </c>
      <c r="F261" s="1">
        <f t="shared" si="103"/>
        <v>0.25</v>
      </c>
      <c r="G261" s="1">
        <f t="shared" si="104"/>
        <v>0.25</v>
      </c>
      <c r="H261" s="1">
        <f t="shared" si="105"/>
        <v>0.25</v>
      </c>
      <c r="I261" s="1">
        <f t="shared" si="106"/>
        <v>0.25</v>
      </c>
    </row>
    <row r="262" spans="1:9" x14ac:dyDescent="0.3">
      <c r="A262" s="62" t="s">
        <v>108</v>
      </c>
      <c r="B262" t="str">
        <f t="shared" si="99"/>
        <v>Electrical Fundamentals</v>
      </c>
      <c r="C262" t="str">
        <f t="shared" si="100"/>
        <v>25-05994-001</v>
      </c>
      <c r="D262" s="1">
        <f t="shared" si="101"/>
        <v>0.15</v>
      </c>
      <c r="E262" s="1">
        <f t="shared" si="102"/>
        <v>0.15</v>
      </c>
      <c r="F262" s="1">
        <f t="shared" si="103"/>
        <v>0.15</v>
      </c>
      <c r="G262" s="1">
        <f t="shared" si="104"/>
        <v>0.15</v>
      </c>
      <c r="H262" s="1">
        <f t="shared" si="105"/>
        <v>0.15</v>
      </c>
      <c r="I262" s="1">
        <f t="shared" si="106"/>
        <v>0.15</v>
      </c>
    </row>
    <row r="263" spans="1:9" x14ac:dyDescent="0.3">
      <c r="A263" s="62" t="s">
        <v>1052</v>
      </c>
      <c r="B263" t="str">
        <f t="shared" si="99"/>
        <v>Backflow Preventers</v>
      </c>
      <c r="C263" t="str">
        <f t="shared" si="100"/>
        <v>25-08959-001</v>
      </c>
      <c r="D263" s="1">
        <f t="shared" si="101"/>
        <v>0.05</v>
      </c>
      <c r="E263" s="1">
        <f t="shared" si="102"/>
        <v>0.05</v>
      </c>
      <c r="F263" s="1">
        <f t="shared" si="103"/>
        <v>0.05</v>
      </c>
      <c r="G263" s="1">
        <f t="shared" si="104"/>
        <v>0.05</v>
      </c>
      <c r="H263" s="1">
        <f t="shared" si="105"/>
        <v>0.05</v>
      </c>
      <c r="I263" s="1">
        <f t="shared" si="106"/>
        <v>0.05</v>
      </c>
    </row>
    <row r="264" spans="1:9" x14ac:dyDescent="0.3">
      <c r="A264" s="62" t="s">
        <v>58</v>
      </c>
      <c r="B264" t="str">
        <f t="shared" si="99"/>
        <v>Introduction to Collections Systems</v>
      </c>
      <c r="C264" t="str">
        <f t="shared" si="100"/>
        <v>25-06000-002</v>
      </c>
      <c r="D264" s="1">
        <f t="shared" si="101"/>
        <v>0.15</v>
      </c>
      <c r="E264" s="1">
        <f t="shared" si="102"/>
        <v>0</v>
      </c>
      <c r="F264" s="1">
        <f t="shared" si="103"/>
        <v>0</v>
      </c>
      <c r="G264" s="1">
        <f t="shared" si="104"/>
        <v>0</v>
      </c>
      <c r="H264" s="1">
        <f t="shared" si="105"/>
        <v>0</v>
      </c>
      <c r="I264" s="1">
        <f t="shared" si="106"/>
        <v>0.15</v>
      </c>
    </row>
    <row r="265" spans="1:9" x14ac:dyDescent="0.3">
      <c r="A265" s="62" t="s">
        <v>59</v>
      </c>
      <c r="B265" t="str">
        <f t="shared" si="99"/>
        <v>Collection System Inspection, Testing, and Cleaning - Part 1</v>
      </c>
      <c r="C265" t="str">
        <f t="shared" si="100"/>
        <v>25-06001-002</v>
      </c>
      <c r="D265" s="1">
        <f t="shared" si="101"/>
        <v>0.25</v>
      </c>
      <c r="E265" s="1">
        <f t="shared" si="102"/>
        <v>0</v>
      </c>
      <c r="F265" s="1">
        <f t="shared" si="103"/>
        <v>0</v>
      </c>
      <c r="G265" s="1">
        <f t="shared" si="104"/>
        <v>0</v>
      </c>
      <c r="H265" s="1">
        <f t="shared" si="105"/>
        <v>0</v>
      </c>
      <c r="I265" s="1">
        <f t="shared" si="106"/>
        <v>0.25</v>
      </c>
    </row>
    <row r="266" spans="1:9" x14ac:dyDescent="0.3">
      <c r="A266" s="62" t="s">
        <v>60</v>
      </c>
      <c r="B266" t="str">
        <f t="shared" si="99"/>
        <v>Collection System Inspection, Testing, and Cleaning - Part 2</v>
      </c>
      <c r="C266" t="str">
        <f t="shared" si="100"/>
        <v>25-06002-002</v>
      </c>
      <c r="D266" s="1">
        <f t="shared" si="101"/>
        <v>0.25</v>
      </c>
      <c r="E266" s="1">
        <f t="shared" si="102"/>
        <v>0</v>
      </c>
      <c r="F266" s="1">
        <f t="shared" si="103"/>
        <v>0</v>
      </c>
      <c r="G266" s="1">
        <f t="shared" si="104"/>
        <v>0</v>
      </c>
      <c r="H266" s="1">
        <f t="shared" si="105"/>
        <v>0</v>
      </c>
      <c r="I266" s="1">
        <f t="shared" si="106"/>
        <v>0.25</v>
      </c>
    </row>
    <row r="267" spans="1:9" x14ac:dyDescent="0.3">
      <c r="A267" s="62" t="s">
        <v>61</v>
      </c>
      <c r="B267" t="str">
        <f t="shared" si="99"/>
        <v>Lift Stations</v>
      </c>
      <c r="C267" t="str">
        <f t="shared" si="100"/>
        <v>25-06003-001</v>
      </c>
      <c r="D267" s="1">
        <f t="shared" si="101"/>
        <v>0.2</v>
      </c>
      <c r="E267" s="1">
        <f t="shared" si="102"/>
        <v>0</v>
      </c>
      <c r="F267" s="1">
        <f t="shared" si="103"/>
        <v>0.2</v>
      </c>
      <c r="G267" s="1">
        <f t="shared" si="104"/>
        <v>0.2</v>
      </c>
      <c r="H267" s="1">
        <f t="shared" si="105"/>
        <v>0</v>
      </c>
      <c r="I267" s="1">
        <f t="shared" si="106"/>
        <v>0.2</v>
      </c>
    </row>
    <row r="268" spans="1:9" x14ac:dyDescent="0.3">
      <c r="A268" s="62" t="s">
        <v>169</v>
      </c>
      <c r="B268" t="str">
        <f t="shared" si="99"/>
        <v>Manholes</v>
      </c>
      <c r="C268" t="str">
        <f t="shared" si="100"/>
        <v>25-06005-001</v>
      </c>
      <c r="D268" s="1">
        <f t="shared" si="101"/>
        <v>0.1</v>
      </c>
      <c r="E268" s="1">
        <f t="shared" si="102"/>
        <v>0</v>
      </c>
      <c r="F268" s="1">
        <f t="shared" si="103"/>
        <v>0</v>
      </c>
      <c r="G268" s="1">
        <f t="shared" si="104"/>
        <v>0</v>
      </c>
      <c r="H268" s="1">
        <f t="shared" si="105"/>
        <v>0</v>
      </c>
      <c r="I268" s="1">
        <f t="shared" si="106"/>
        <v>0.1</v>
      </c>
    </row>
    <row r="269" spans="1:9" x14ac:dyDescent="0.3">
      <c r="A269" s="62" t="s">
        <v>63</v>
      </c>
      <c r="B269" t="str">
        <f t="shared" si="99"/>
        <v>Trenching and Shoring</v>
      </c>
      <c r="C269" t="str">
        <f t="shared" si="100"/>
        <v>25-05998-001</v>
      </c>
      <c r="D269" s="1">
        <f t="shared" si="101"/>
        <v>0.25</v>
      </c>
      <c r="E269" s="1">
        <f t="shared" si="102"/>
        <v>0</v>
      </c>
      <c r="F269" s="1">
        <f t="shared" si="103"/>
        <v>0</v>
      </c>
      <c r="G269" s="1">
        <f t="shared" si="104"/>
        <v>0</v>
      </c>
      <c r="H269" s="1">
        <f t="shared" si="105"/>
        <v>0.25</v>
      </c>
      <c r="I269" s="1">
        <f t="shared" si="106"/>
        <v>0.25</v>
      </c>
    </row>
    <row r="270" spans="1:9" x14ac:dyDescent="0.3">
      <c r="A270" s="62" t="s">
        <v>1411</v>
      </c>
      <c r="B270" t="str">
        <f t="shared" si="99"/>
        <v>Demolition Saws</v>
      </c>
      <c r="C270" t="str">
        <f t="shared" si="100"/>
        <v>25-09506-001</v>
      </c>
      <c r="D270" s="1">
        <f t="shared" si="101"/>
        <v>0.05</v>
      </c>
      <c r="E270" s="1">
        <f t="shared" si="102"/>
        <v>0.05</v>
      </c>
      <c r="F270" s="1">
        <f t="shared" si="103"/>
        <v>0.05</v>
      </c>
      <c r="G270" s="1">
        <f t="shared" si="104"/>
        <v>0.05</v>
      </c>
      <c r="H270" s="1">
        <f t="shared" si="105"/>
        <v>0.05</v>
      </c>
      <c r="I270" s="1">
        <f t="shared" si="106"/>
        <v>0.05</v>
      </c>
    </row>
    <row r="271" spans="1:9" x14ac:dyDescent="0.3">
      <c r="A271" s="62" t="s">
        <v>520</v>
      </c>
      <c r="B271" t="str">
        <f t="shared" si="99"/>
        <v>Odor Control</v>
      </c>
      <c r="C271" t="str">
        <f t="shared" si="100"/>
        <v>25-06026-001</v>
      </c>
      <c r="D271" s="1">
        <f t="shared" si="101"/>
        <v>0.2</v>
      </c>
      <c r="E271" s="1">
        <f t="shared" si="102"/>
        <v>0</v>
      </c>
      <c r="F271" s="1">
        <f t="shared" si="103"/>
        <v>0.2</v>
      </c>
      <c r="G271" s="1">
        <f t="shared" si="104"/>
        <v>0.2</v>
      </c>
      <c r="H271" s="1">
        <f t="shared" si="105"/>
        <v>0</v>
      </c>
      <c r="I271" s="1">
        <f t="shared" si="106"/>
        <v>0.2</v>
      </c>
    </row>
    <row r="272" spans="1:9" x14ac:dyDescent="0.3">
      <c r="A272" s="62" t="s">
        <v>699</v>
      </c>
      <c r="B272" t="str">
        <f t="shared" si="99"/>
        <v>MRT for Wastewater Treatment and Collection Systems</v>
      </c>
      <c r="C272" t="str">
        <f t="shared" si="100"/>
        <v>25-06840-002</v>
      </c>
      <c r="D272" s="1">
        <f t="shared" si="101"/>
        <v>0.25</v>
      </c>
      <c r="E272" s="1">
        <f t="shared" si="102"/>
        <v>0</v>
      </c>
      <c r="F272" s="1">
        <f t="shared" si="103"/>
        <v>0.25</v>
      </c>
      <c r="G272" s="1">
        <f t="shared" si="104"/>
        <v>0.25</v>
      </c>
      <c r="H272" s="1">
        <f t="shared" si="105"/>
        <v>0</v>
      </c>
      <c r="I272" s="1">
        <f t="shared" si="106"/>
        <v>0.25</v>
      </c>
    </row>
    <row r="273" spans="1:9" x14ac:dyDescent="0.3">
      <c r="A273" t="s">
        <v>319</v>
      </c>
      <c r="D273" s="1">
        <f>SUM(Table391012182126313334[Max])</f>
        <v>2.5</v>
      </c>
      <c r="E273" s="1">
        <f>SUM(Table391012182126313334[W])</f>
        <v>0.85000000000000009</v>
      </c>
      <c r="F273" s="1">
        <f>SUM(Table391012182126313334[WW])</f>
        <v>1.5</v>
      </c>
      <c r="G273" s="1">
        <f>SUM(Table391012182126313334[I])</f>
        <v>1.5</v>
      </c>
      <c r="H273" s="1">
        <f>SUM(Table391012182126313334[D])</f>
        <v>1.1000000000000001</v>
      </c>
      <c r="I273" s="1">
        <f>SUM(Table391012182126313334[C])</f>
        <v>2.5</v>
      </c>
    </row>
    <row r="275" spans="1:9" x14ac:dyDescent="0.3">
      <c r="A275" s="6" t="s">
        <v>2123</v>
      </c>
      <c r="I275" s="63">
        <f>(D294-0.25)*10*20*0.9</f>
        <v>504.00000000000011</v>
      </c>
    </row>
    <row r="276" spans="1:9" x14ac:dyDescent="0.3">
      <c r="A276" t="s">
        <v>1898</v>
      </c>
      <c r="B276" t="s">
        <v>279</v>
      </c>
      <c r="C276" t="s">
        <v>1900</v>
      </c>
      <c r="D276" s="1" t="s">
        <v>1187</v>
      </c>
      <c r="E276" s="1" t="s">
        <v>22</v>
      </c>
      <c r="F276" s="1" t="s">
        <v>23</v>
      </c>
      <c r="G276" s="1" t="s">
        <v>26</v>
      </c>
      <c r="H276" s="1" t="s">
        <v>25</v>
      </c>
      <c r="I276" s="1" t="s">
        <v>24</v>
      </c>
    </row>
    <row r="277" spans="1:9" x14ac:dyDescent="0.3">
      <c r="A277" s="62" t="s">
        <v>53</v>
      </c>
      <c r="B277" t="str">
        <f t="shared" ref="B277:B293" si="107">LOOKUP($A277,$AE:$AE,AF:AF)</f>
        <v>Pumps</v>
      </c>
      <c r="C277" t="str">
        <f t="shared" ref="C277:C293" si="108">LOOKUP($A277,$AE:$AE,AG:AG)</f>
        <v>25-06046-002</v>
      </c>
      <c r="D277" s="1">
        <f t="shared" ref="D277:D293" si="109">LOOKUP($A277,$AE:$AE,AH:AH)</f>
        <v>0.2</v>
      </c>
      <c r="E277" s="1">
        <f t="shared" ref="E277:E293" si="110">LOOKUP($A277,$AE:$AE,AI:AI)</f>
        <v>0.2</v>
      </c>
      <c r="F277" s="1">
        <f t="shared" ref="F277:F293" si="111">LOOKUP($A277,$AE:$AE,AJ:AJ)</f>
        <v>0.2</v>
      </c>
      <c r="G277" s="1">
        <f t="shared" ref="G277:G293" si="112">LOOKUP($A277,$AE:$AE,AK:AK)</f>
        <v>0.2</v>
      </c>
      <c r="H277" s="1">
        <f t="shared" ref="H277:H293" si="113">LOOKUP($A277,$AE:$AE,AL:AL)</f>
        <v>0.2</v>
      </c>
      <c r="I277" s="1">
        <f t="shared" ref="I277:I293" si="114">LOOKUP($A277,$AE:$AE,AM:AM)</f>
        <v>0.2</v>
      </c>
    </row>
    <row r="278" spans="1:9" x14ac:dyDescent="0.3">
      <c r="A278" s="62" t="s">
        <v>54</v>
      </c>
      <c r="B278" t="str">
        <f t="shared" si="107"/>
        <v>Hydraulics Basics</v>
      </c>
      <c r="C278" t="str">
        <f t="shared" si="108"/>
        <v>25-05990-001</v>
      </c>
      <c r="D278" s="1">
        <f t="shared" si="109"/>
        <v>0.15</v>
      </c>
      <c r="E278" s="1">
        <f t="shared" si="110"/>
        <v>0.15</v>
      </c>
      <c r="F278" s="1">
        <f t="shared" si="111"/>
        <v>0.15</v>
      </c>
      <c r="G278" s="1">
        <f t="shared" si="112"/>
        <v>0.15</v>
      </c>
      <c r="H278" s="1">
        <f t="shared" si="113"/>
        <v>0.15</v>
      </c>
      <c r="I278" s="1">
        <f t="shared" si="114"/>
        <v>0.15</v>
      </c>
    </row>
    <row r="279" spans="1:9" x14ac:dyDescent="0.3">
      <c r="A279" s="62" t="s">
        <v>57</v>
      </c>
      <c r="B279" t="str">
        <f t="shared" si="107"/>
        <v>Corrosion Control</v>
      </c>
      <c r="C279" t="str">
        <f t="shared" si="108"/>
        <v>25-05992-001</v>
      </c>
      <c r="D279" s="1">
        <f t="shared" si="109"/>
        <v>0.25</v>
      </c>
      <c r="E279" s="1">
        <f t="shared" si="110"/>
        <v>0.25</v>
      </c>
      <c r="F279" s="1">
        <f t="shared" si="111"/>
        <v>0.25</v>
      </c>
      <c r="G279" s="1">
        <f t="shared" si="112"/>
        <v>0.25</v>
      </c>
      <c r="H279" s="1">
        <f t="shared" si="113"/>
        <v>0.25</v>
      </c>
      <c r="I279" s="1">
        <f t="shared" si="114"/>
        <v>0.25</v>
      </c>
    </row>
    <row r="280" spans="1:9" x14ac:dyDescent="0.3">
      <c r="A280" s="62" t="s">
        <v>516</v>
      </c>
      <c r="B280" t="str">
        <f t="shared" si="107"/>
        <v>Maintenance</v>
      </c>
      <c r="C280" t="str">
        <f t="shared" si="108"/>
        <v>25-05993-001</v>
      </c>
      <c r="D280" s="1">
        <f t="shared" si="109"/>
        <v>0.15</v>
      </c>
      <c r="E280" s="1">
        <f t="shared" si="110"/>
        <v>0.15</v>
      </c>
      <c r="F280" s="1">
        <f t="shared" si="111"/>
        <v>0.15</v>
      </c>
      <c r="G280" s="1">
        <f t="shared" si="112"/>
        <v>0.15</v>
      </c>
      <c r="H280" s="1">
        <f t="shared" si="113"/>
        <v>0.15</v>
      </c>
      <c r="I280" s="1">
        <f t="shared" si="114"/>
        <v>0.15</v>
      </c>
    </row>
    <row r="281" spans="1:9" x14ac:dyDescent="0.3">
      <c r="A281" s="62" t="s">
        <v>108</v>
      </c>
      <c r="B281" t="str">
        <f t="shared" si="107"/>
        <v>Electrical Fundamentals</v>
      </c>
      <c r="C281" t="str">
        <f t="shared" si="108"/>
        <v>25-05994-001</v>
      </c>
      <c r="D281" s="1">
        <f t="shared" si="109"/>
        <v>0.15</v>
      </c>
      <c r="E281" s="1">
        <f t="shared" si="110"/>
        <v>0.15</v>
      </c>
      <c r="F281" s="1">
        <f t="shared" si="111"/>
        <v>0.15</v>
      </c>
      <c r="G281" s="1">
        <f t="shared" si="112"/>
        <v>0.15</v>
      </c>
      <c r="H281" s="1">
        <f t="shared" si="113"/>
        <v>0.15</v>
      </c>
      <c r="I281" s="1">
        <f t="shared" si="114"/>
        <v>0.15</v>
      </c>
    </row>
    <row r="282" spans="1:9" x14ac:dyDescent="0.3">
      <c r="A282" s="62" t="s">
        <v>1052</v>
      </c>
      <c r="B282" t="str">
        <f t="shared" si="107"/>
        <v>Backflow Preventers</v>
      </c>
      <c r="C282" t="str">
        <f t="shared" si="108"/>
        <v>25-08959-001</v>
      </c>
      <c r="D282" s="1">
        <f t="shared" si="109"/>
        <v>0.05</v>
      </c>
      <c r="E282" s="1">
        <f t="shared" si="110"/>
        <v>0.05</v>
      </c>
      <c r="F282" s="1">
        <f t="shared" si="111"/>
        <v>0.05</v>
      </c>
      <c r="G282" s="1">
        <f t="shared" si="112"/>
        <v>0.05</v>
      </c>
      <c r="H282" s="1">
        <f t="shared" si="113"/>
        <v>0.05</v>
      </c>
      <c r="I282" s="1">
        <f t="shared" si="114"/>
        <v>0.05</v>
      </c>
    </row>
    <row r="283" spans="1:9" x14ac:dyDescent="0.3">
      <c r="A283" s="62" t="s">
        <v>58</v>
      </c>
      <c r="B283" t="str">
        <f t="shared" si="107"/>
        <v>Introduction to Collections Systems</v>
      </c>
      <c r="C283" t="str">
        <f t="shared" si="108"/>
        <v>25-06000-002</v>
      </c>
      <c r="D283" s="1">
        <f t="shared" si="109"/>
        <v>0.15</v>
      </c>
      <c r="E283" s="1">
        <f t="shared" si="110"/>
        <v>0</v>
      </c>
      <c r="F283" s="1">
        <f t="shared" si="111"/>
        <v>0</v>
      </c>
      <c r="G283" s="1">
        <f t="shared" si="112"/>
        <v>0</v>
      </c>
      <c r="H283" s="1">
        <f t="shared" si="113"/>
        <v>0</v>
      </c>
      <c r="I283" s="1">
        <f t="shared" si="114"/>
        <v>0.15</v>
      </c>
    </row>
    <row r="284" spans="1:9" x14ac:dyDescent="0.3">
      <c r="A284" s="62" t="s">
        <v>59</v>
      </c>
      <c r="B284" t="str">
        <f t="shared" si="107"/>
        <v>Collection System Inspection, Testing, and Cleaning - Part 1</v>
      </c>
      <c r="C284" t="str">
        <f t="shared" si="108"/>
        <v>25-06001-002</v>
      </c>
      <c r="D284" s="1">
        <f t="shared" si="109"/>
        <v>0.25</v>
      </c>
      <c r="E284" s="1">
        <f t="shared" si="110"/>
        <v>0</v>
      </c>
      <c r="F284" s="1">
        <f t="shared" si="111"/>
        <v>0</v>
      </c>
      <c r="G284" s="1">
        <f t="shared" si="112"/>
        <v>0</v>
      </c>
      <c r="H284" s="1">
        <f t="shared" si="113"/>
        <v>0</v>
      </c>
      <c r="I284" s="1">
        <f t="shared" si="114"/>
        <v>0.25</v>
      </c>
    </row>
    <row r="285" spans="1:9" x14ac:dyDescent="0.3">
      <c r="A285" s="62" t="s">
        <v>60</v>
      </c>
      <c r="B285" t="str">
        <f t="shared" si="107"/>
        <v>Collection System Inspection, Testing, and Cleaning - Part 2</v>
      </c>
      <c r="C285" t="str">
        <f t="shared" si="108"/>
        <v>25-06002-002</v>
      </c>
      <c r="D285" s="1">
        <f t="shared" si="109"/>
        <v>0.25</v>
      </c>
      <c r="E285" s="1">
        <f t="shared" si="110"/>
        <v>0</v>
      </c>
      <c r="F285" s="1">
        <f t="shared" si="111"/>
        <v>0</v>
      </c>
      <c r="G285" s="1">
        <f t="shared" si="112"/>
        <v>0</v>
      </c>
      <c r="H285" s="1">
        <f t="shared" si="113"/>
        <v>0</v>
      </c>
      <c r="I285" s="1">
        <f t="shared" si="114"/>
        <v>0.25</v>
      </c>
    </row>
    <row r="286" spans="1:9" x14ac:dyDescent="0.3">
      <c r="A286" s="62" t="s">
        <v>61</v>
      </c>
      <c r="B286" t="str">
        <f t="shared" si="107"/>
        <v>Lift Stations</v>
      </c>
      <c r="C286" t="str">
        <f t="shared" si="108"/>
        <v>25-06003-001</v>
      </c>
      <c r="D286" s="1">
        <f t="shared" si="109"/>
        <v>0.2</v>
      </c>
      <c r="E286" s="1">
        <f t="shared" si="110"/>
        <v>0</v>
      </c>
      <c r="F286" s="1">
        <f t="shared" si="111"/>
        <v>0.2</v>
      </c>
      <c r="G286" s="1">
        <f t="shared" si="112"/>
        <v>0.2</v>
      </c>
      <c r="H286" s="1">
        <f t="shared" si="113"/>
        <v>0</v>
      </c>
      <c r="I286" s="1">
        <f t="shared" si="114"/>
        <v>0.2</v>
      </c>
    </row>
    <row r="287" spans="1:9" x14ac:dyDescent="0.3">
      <c r="A287" s="62" t="s">
        <v>62</v>
      </c>
      <c r="B287" t="str">
        <f t="shared" si="107"/>
        <v>Pretreatment and Pollution Prevention</v>
      </c>
      <c r="C287" t="str">
        <f t="shared" si="108"/>
        <v>25-06004-001</v>
      </c>
      <c r="D287" s="1">
        <f t="shared" si="109"/>
        <v>0.3</v>
      </c>
      <c r="E287" s="1">
        <f t="shared" si="110"/>
        <v>0.3</v>
      </c>
      <c r="F287" s="1">
        <f t="shared" si="111"/>
        <v>0.3</v>
      </c>
      <c r="G287" s="1">
        <f t="shared" si="112"/>
        <v>0.3</v>
      </c>
      <c r="H287" s="1">
        <f t="shared" si="113"/>
        <v>0</v>
      </c>
      <c r="I287" s="1">
        <f t="shared" si="114"/>
        <v>0</v>
      </c>
    </row>
    <row r="288" spans="1:9" x14ac:dyDescent="0.3">
      <c r="A288" s="62" t="s">
        <v>169</v>
      </c>
      <c r="B288" t="str">
        <f t="shared" si="107"/>
        <v>Manholes</v>
      </c>
      <c r="C288" t="str">
        <f t="shared" si="108"/>
        <v>25-06005-001</v>
      </c>
      <c r="D288" s="1">
        <f t="shared" si="109"/>
        <v>0.1</v>
      </c>
      <c r="E288" s="1">
        <f t="shared" si="110"/>
        <v>0</v>
      </c>
      <c r="F288" s="1">
        <f t="shared" si="111"/>
        <v>0</v>
      </c>
      <c r="G288" s="1">
        <f t="shared" si="112"/>
        <v>0</v>
      </c>
      <c r="H288" s="1">
        <f t="shared" si="113"/>
        <v>0</v>
      </c>
      <c r="I288" s="1">
        <f t="shared" si="114"/>
        <v>0.1</v>
      </c>
    </row>
    <row r="289" spans="1:9" x14ac:dyDescent="0.3">
      <c r="A289" s="62" t="s">
        <v>63</v>
      </c>
      <c r="B289" t="str">
        <f t="shared" si="107"/>
        <v>Trenching and Shoring</v>
      </c>
      <c r="C289" t="str">
        <f t="shared" si="108"/>
        <v>25-05998-001</v>
      </c>
      <c r="D289" s="1">
        <f t="shared" si="109"/>
        <v>0.25</v>
      </c>
      <c r="E289" s="1">
        <f t="shared" si="110"/>
        <v>0</v>
      </c>
      <c r="F289" s="1">
        <f t="shared" si="111"/>
        <v>0</v>
      </c>
      <c r="G289" s="1">
        <f t="shared" si="112"/>
        <v>0</v>
      </c>
      <c r="H289" s="1">
        <f t="shared" si="113"/>
        <v>0.25</v>
      </c>
      <c r="I289" s="1">
        <f t="shared" si="114"/>
        <v>0.25</v>
      </c>
    </row>
    <row r="290" spans="1:9" x14ac:dyDescent="0.3">
      <c r="A290" s="62" t="s">
        <v>1411</v>
      </c>
      <c r="B290" t="str">
        <f t="shared" si="107"/>
        <v>Demolition Saws</v>
      </c>
      <c r="C290" t="str">
        <f t="shared" si="108"/>
        <v>25-09506-001</v>
      </c>
      <c r="D290" s="1">
        <f t="shared" si="109"/>
        <v>0.05</v>
      </c>
      <c r="E290" s="1">
        <f t="shared" si="110"/>
        <v>0.05</v>
      </c>
      <c r="F290" s="1">
        <f t="shared" si="111"/>
        <v>0.05</v>
      </c>
      <c r="G290" s="1">
        <f t="shared" si="112"/>
        <v>0.05</v>
      </c>
      <c r="H290" s="1">
        <f t="shared" si="113"/>
        <v>0.05</v>
      </c>
      <c r="I290" s="1">
        <f t="shared" si="114"/>
        <v>0.05</v>
      </c>
    </row>
    <row r="291" spans="1:9" x14ac:dyDescent="0.3">
      <c r="A291" s="62" t="s">
        <v>66</v>
      </c>
      <c r="B291" t="str">
        <f t="shared" si="107"/>
        <v>Preliminary Treatment</v>
      </c>
      <c r="C291" t="str">
        <f t="shared" si="108"/>
        <v>25-09381-001</v>
      </c>
      <c r="D291" s="1">
        <f t="shared" si="109"/>
        <v>0.1</v>
      </c>
      <c r="E291" s="1">
        <f t="shared" si="110"/>
        <v>0.05</v>
      </c>
      <c r="F291" s="1">
        <f t="shared" si="111"/>
        <v>0.1</v>
      </c>
      <c r="G291" s="1">
        <f t="shared" si="112"/>
        <v>0.1</v>
      </c>
      <c r="H291" s="1">
        <f t="shared" si="113"/>
        <v>0</v>
      </c>
      <c r="I291" s="1">
        <f t="shared" si="114"/>
        <v>0.05</v>
      </c>
    </row>
    <row r="292" spans="1:9" x14ac:dyDescent="0.3">
      <c r="A292" s="62" t="s">
        <v>520</v>
      </c>
      <c r="B292" t="str">
        <f t="shared" si="107"/>
        <v>Odor Control</v>
      </c>
      <c r="C292" t="str">
        <f t="shared" si="108"/>
        <v>25-06026-001</v>
      </c>
      <c r="D292" s="1">
        <f t="shared" si="109"/>
        <v>0.2</v>
      </c>
      <c r="E292" s="1">
        <f t="shared" si="110"/>
        <v>0</v>
      </c>
      <c r="F292" s="1">
        <f t="shared" si="111"/>
        <v>0.2</v>
      </c>
      <c r="G292" s="1">
        <f t="shared" si="112"/>
        <v>0.2</v>
      </c>
      <c r="H292" s="1">
        <f t="shared" si="113"/>
        <v>0</v>
      </c>
      <c r="I292" s="1">
        <f t="shared" si="114"/>
        <v>0.2</v>
      </c>
    </row>
    <row r="293" spans="1:9" x14ac:dyDescent="0.3">
      <c r="A293" s="62" t="s">
        <v>699</v>
      </c>
      <c r="B293" t="str">
        <f t="shared" si="107"/>
        <v>MRT for Wastewater Treatment and Collection Systems</v>
      </c>
      <c r="C293" t="str">
        <f t="shared" si="108"/>
        <v>25-06840-002</v>
      </c>
      <c r="D293" s="1">
        <f t="shared" si="109"/>
        <v>0.25</v>
      </c>
      <c r="E293" s="1">
        <f t="shared" si="110"/>
        <v>0</v>
      </c>
      <c r="F293" s="1">
        <f t="shared" si="111"/>
        <v>0.25</v>
      </c>
      <c r="G293" s="1">
        <f t="shared" si="112"/>
        <v>0.25</v>
      </c>
      <c r="H293" s="1">
        <f t="shared" si="113"/>
        <v>0</v>
      </c>
      <c r="I293" s="1">
        <f t="shared" si="114"/>
        <v>0.25</v>
      </c>
    </row>
    <row r="294" spans="1:9" x14ac:dyDescent="0.3">
      <c r="A294" t="s">
        <v>319</v>
      </c>
      <c r="D294" s="1">
        <f>SUM(Table391012182126313335[Max])</f>
        <v>3.0500000000000003</v>
      </c>
      <c r="E294" s="1">
        <f>SUM(Table391012182126313335[W])</f>
        <v>1.35</v>
      </c>
      <c r="F294" s="1">
        <f>SUM(Table391012182126313335[WW])</f>
        <v>2.0500000000000003</v>
      </c>
      <c r="G294" s="1">
        <f>SUM(Table391012182126313335[I])</f>
        <v>2.0500000000000003</v>
      </c>
      <c r="H294" s="1">
        <f>SUM(Table391012182126313335[D])</f>
        <v>1.2500000000000002</v>
      </c>
      <c r="I294" s="1">
        <f>SUM(Table391012182126313335[C])</f>
        <v>2.7</v>
      </c>
    </row>
    <row r="296" spans="1:9" x14ac:dyDescent="0.3">
      <c r="A296" s="6" t="s">
        <v>2124</v>
      </c>
      <c r="I296" s="63">
        <f>(D305-0.55)*10*20*0.9</f>
        <v>143.99999999999997</v>
      </c>
    </row>
    <row r="297" spans="1:9" x14ac:dyDescent="0.3">
      <c r="A297" t="s">
        <v>1898</v>
      </c>
      <c r="B297" t="s">
        <v>279</v>
      </c>
      <c r="C297" t="s">
        <v>1900</v>
      </c>
      <c r="D297" s="1" t="s">
        <v>1187</v>
      </c>
      <c r="E297" s="1" t="s">
        <v>22</v>
      </c>
      <c r="F297" s="1" t="s">
        <v>23</v>
      </c>
      <c r="G297" s="1" t="s">
        <v>26</v>
      </c>
      <c r="H297" s="1" t="s">
        <v>25</v>
      </c>
      <c r="I297" s="1" t="s">
        <v>24</v>
      </c>
    </row>
    <row r="298" spans="1:9" x14ac:dyDescent="0.3">
      <c r="A298" s="62" t="s">
        <v>61</v>
      </c>
      <c r="B298" t="str">
        <f t="shared" ref="B298:I304" si="115">LOOKUP($A298,$AE:$AE,AF:AF)</f>
        <v>Lift Stations</v>
      </c>
      <c r="C298" t="str">
        <f t="shared" si="115"/>
        <v>25-06003-001</v>
      </c>
      <c r="D298" s="1">
        <f t="shared" si="115"/>
        <v>0.2</v>
      </c>
      <c r="E298" s="1">
        <f t="shared" si="115"/>
        <v>0</v>
      </c>
      <c r="F298" s="1">
        <f t="shared" si="115"/>
        <v>0.2</v>
      </c>
      <c r="G298" s="1">
        <f t="shared" si="115"/>
        <v>0.2</v>
      </c>
      <c r="H298" s="1">
        <f t="shared" si="115"/>
        <v>0</v>
      </c>
      <c r="I298" s="1">
        <f t="shared" si="115"/>
        <v>0.2</v>
      </c>
    </row>
    <row r="299" spans="1:9" x14ac:dyDescent="0.3">
      <c r="A299" s="62" t="s">
        <v>526</v>
      </c>
      <c r="B299" t="str">
        <f t="shared" si="115"/>
        <v>Laboratory - Chlorine Residual by DPD</v>
      </c>
      <c r="C299" t="str">
        <f t="shared" si="115"/>
        <v>25-07709-001</v>
      </c>
      <c r="D299" s="1">
        <f t="shared" si="115"/>
        <v>0.05</v>
      </c>
      <c r="E299" s="1">
        <f t="shared" si="115"/>
        <v>0.05</v>
      </c>
      <c r="F299" s="1">
        <f t="shared" si="115"/>
        <v>0.05</v>
      </c>
      <c r="G299" s="1">
        <f t="shared" si="115"/>
        <v>0.05</v>
      </c>
      <c r="H299" s="1">
        <f t="shared" si="115"/>
        <v>0.05</v>
      </c>
      <c r="I299" s="1">
        <f t="shared" si="115"/>
        <v>0</v>
      </c>
    </row>
    <row r="300" spans="1:9" x14ac:dyDescent="0.3">
      <c r="A300" s="62" t="s">
        <v>92</v>
      </c>
      <c r="B300" t="str">
        <f t="shared" si="115"/>
        <v>Water Sources Part 2</v>
      </c>
      <c r="C300" t="str">
        <f t="shared" si="115"/>
        <v>25-06036-001</v>
      </c>
      <c r="D300" s="1">
        <f t="shared" si="115"/>
        <v>0.1</v>
      </c>
      <c r="E300" s="1">
        <f t="shared" si="115"/>
        <v>0.1</v>
      </c>
      <c r="F300" s="1">
        <f t="shared" si="115"/>
        <v>0</v>
      </c>
      <c r="G300" s="1">
        <f t="shared" si="115"/>
        <v>0.1</v>
      </c>
      <c r="H300" s="1">
        <f t="shared" si="115"/>
        <v>0.1</v>
      </c>
      <c r="I300" s="1">
        <f t="shared" si="115"/>
        <v>0</v>
      </c>
    </row>
    <row r="301" spans="1:9" x14ac:dyDescent="0.3">
      <c r="A301" s="62" t="s">
        <v>93</v>
      </c>
      <c r="B301" t="str">
        <f t="shared" si="115"/>
        <v>Drinking Water Treatment Part 1</v>
      </c>
      <c r="C301" t="str">
        <f t="shared" si="115"/>
        <v>25-06037-001</v>
      </c>
      <c r="D301" s="1">
        <f t="shared" si="115"/>
        <v>0.25</v>
      </c>
      <c r="E301" s="1">
        <f t="shared" si="115"/>
        <v>0.25</v>
      </c>
      <c r="F301" s="1">
        <f t="shared" si="115"/>
        <v>0</v>
      </c>
      <c r="G301" s="1">
        <f t="shared" si="115"/>
        <v>0</v>
      </c>
      <c r="H301" s="1">
        <f t="shared" si="115"/>
        <v>0</v>
      </c>
      <c r="I301" s="1">
        <f t="shared" si="115"/>
        <v>0</v>
      </c>
    </row>
    <row r="302" spans="1:9" x14ac:dyDescent="0.3">
      <c r="A302" s="62" t="s">
        <v>96</v>
      </c>
      <c r="B302" t="str">
        <f t="shared" si="115"/>
        <v>MRT Drinking Water Regulatory Course</v>
      </c>
      <c r="C302" t="str">
        <f t="shared" si="115"/>
        <v>25-06743-002</v>
      </c>
      <c r="D302" s="1">
        <f t="shared" si="115"/>
        <v>0.3</v>
      </c>
      <c r="E302" s="1">
        <f t="shared" si="115"/>
        <v>0.3</v>
      </c>
      <c r="F302" s="1">
        <f t="shared" si="115"/>
        <v>0</v>
      </c>
      <c r="G302" s="1">
        <f t="shared" si="115"/>
        <v>0</v>
      </c>
      <c r="H302" s="1">
        <f t="shared" si="115"/>
        <v>0.3</v>
      </c>
      <c r="I302" s="1">
        <f t="shared" si="115"/>
        <v>0</v>
      </c>
    </row>
    <row r="303" spans="1:9" x14ac:dyDescent="0.3">
      <c r="A303" s="62" t="s">
        <v>1749</v>
      </c>
      <c r="B303" t="str">
        <f t="shared" si="115"/>
        <v>Wastewater Treatment Lagoons</v>
      </c>
      <c r="C303" t="str">
        <f t="shared" si="115"/>
        <v>25-10618-001</v>
      </c>
      <c r="D303" s="1">
        <f t="shared" si="115"/>
        <v>0.2</v>
      </c>
      <c r="E303" s="1">
        <f t="shared" si="115"/>
        <v>0</v>
      </c>
      <c r="F303" s="1">
        <f t="shared" si="115"/>
        <v>0.2</v>
      </c>
      <c r="G303" s="1">
        <f t="shared" si="115"/>
        <v>0.2</v>
      </c>
      <c r="H303" s="1">
        <f t="shared" si="115"/>
        <v>0</v>
      </c>
      <c r="I303" s="1">
        <f t="shared" si="115"/>
        <v>0</v>
      </c>
    </row>
    <row r="304" spans="1:9" x14ac:dyDescent="0.3">
      <c r="A304" s="62" t="s">
        <v>699</v>
      </c>
      <c r="B304" t="str">
        <f t="shared" si="115"/>
        <v>MRT for Wastewater Treatment and Collection Systems</v>
      </c>
      <c r="C304" t="str">
        <f t="shared" si="115"/>
        <v>25-06840-002</v>
      </c>
      <c r="D304" s="1">
        <f t="shared" si="115"/>
        <v>0.25</v>
      </c>
      <c r="E304" s="1">
        <f t="shared" si="115"/>
        <v>0</v>
      </c>
      <c r="F304" s="1">
        <f t="shared" si="115"/>
        <v>0.25</v>
      </c>
      <c r="G304" s="1">
        <f t="shared" si="115"/>
        <v>0.25</v>
      </c>
      <c r="H304" s="1">
        <f t="shared" si="115"/>
        <v>0</v>
      </c>
      <c r="I304" s="1">
        <f t="shared" si="115"/>
        <v>0.25</v>
      </c>
    </row>
    <row r="305" spans="1:9" x14ac:dyDescent="0.3">
      <c r="A305" t="s">
        <v>319</v>
      </c>
      <c r="D305" s="1">
        <f>SUM(Table39101218212631333536[Max])</f>
        <v>1.3499999999999999</v>
      </c>
      <c r="E305" s="1">
        <f>SUM(Table39101218212631333536[W])</f>
        <v>0.7</v>
      </c>
      <c r="F305" s="1">
        <f>SUM(Table39101218212631333536[WW])</f>
        <v>0.7</v>
      </c>
      <c r="G305" s="1">
        <f>SUM(Table39101218212631333536[I])</f>
        <v>0.8</v>
      </c>
      <c r="H305" s="1">
        <f>SUM(Table39101218212631333536[D])</f>
        <v>0.45</v>
      </c>
      <c r="I305" s="1">
        <f>SUM(Table39101218212631333536[C])</f>
        <v>0.45</v>
      </c>
    </row>
    <row r="307" spans="1:9" x14ac:dyDescent="0.3">
      <c r="A307" s="6" t="s">
        <v>2125</v>
      </c>
      <c r="I307" s="63">
        <f>(D319-0.55)*10*20*0.9</f>
        <v>252</v>
      </c>
    </row>
    <row r="308" spans="1:9" x14ac:dyDescent="0.3">
      <c r="A308" t="s">
        <v>1898</v>
      </c>
      <c r="B308" t="s">
        <v>279</v>
      </c>
      <c r="C308" t="s">
        <v>1900</v>
      </c>
      <c r="D308" s="1" t="s">
        <v>1187</v>
      </c>
      <c r="E308" s="1" t="s">
        <v>22</v>
      </c>
      <c r="F308" s="1" t="s">
        <v>23</v>
      </c>
      <c r="G308" s="1" t="s">
        <v>26</v>
      </c>
      <c r="H308" s="1" t="s">
        <v>25</v>
      </c>
      <c r="I308" s="1" t="s">
        <v>24</v>
      </c>
    </row>
    <row r="309" spans="1:9" x14ac:dyDescent="0.3">
      <c r="A309" s="62" t="s">
        <v>53</v>
      </c>
      <c r="B309" t="str">
        <f t="shared" ref="B309:B318" si="116">LOOKUP($A309,$AE:$AE,AF:AF)</f>
        <v>Pumps</v>
      </c>
      <c r="C309" t="str">
        <f t="shared" ref="C309:C318" si="117">LOOKUP($A309,$AE:$AE,AG:AG)</f>
        <v>25-06046-002</v>
      </c>
      <c r="D309" s="1">
        <f t="shared" ref="D309:D318" si="118">LOOKUP($A309,$AE:$AE,AH:AH)</f>
        <v>0.2</v>
      </c>
      <c r="E309" s="1">
        <f t="shared" ref="E309:E318" si="119">LOOKUP($A309,$AE:$AE,AI:AI)</f>
        <v>0.2</v>
      </c>
      <c r="F309" s="1">
        <f t="shared" ref="F309:F318" si="120">LOOKUP($A309,$AE:$AE,AJ:AJ)</f>
        <v>0.2</v>
      </c>
      <c r="G309" s="1">
        <f t="shared" ref="G309:G318" si="121">LOOKUP($A309,$AE:$AE,AK:AK)</f>
        <v>0.2</v>
      </c>
      <c r="H309" s="1">
        <f t="shared" ref="H309:H318" si="122">LOOKUP($A309,$AE:$AE,AL:AL)</f>
        <v>0.2</v>
      </c>
      <c r="I309" s="1">
        <f t="shared" ref="I309:I318" si="123">LOOKUP($A309,$AE:$AE,AM:AM)</f>
        <v>0.2</v>
      </c>
    </row>
    <row r="310" spans="1:9" x14ac:dyDescent="0.3">
      <c r="A310" s="62" t="s">
        <v>61</v>
      </c>
      <c r="B310" t="str">
        <f t="shared" si="116"/>
        <v>Lift Stations</v>
      </c>
      <c r="C310" t="str">
        <f t="shared" si="117"/>
        <v>25-06003-001</v>
      </c>
      <c r="D310" s="1">
        <f t="shared" si="118"/>
        <v>0.2</v>
      </c>
      <c r="E310" s="1">
        <f t="shared" si="119"/>
        <v>0</v>
      </c>
      <c r="F310" s="1">
        <f t="shared" si="120"/>
        <v>0.2</v>
      </c>
      <c r="G310" s="1">
        <f t="shared" si="121"/>
        <v>0.2</v>
      </c>
      <c r="H310" s="1">
        <f t="shared" si="122"/>
        <v>0</v>
      </c>
      <c r="I310" s="1">
        <f t="shared" si="123"/>
        <v>0.2</v>
      </c>
    </row>
    <row r="311" spans="1:9" x14ac:dyDescent="0.3">
      <c r="A311" s="62" t="s">
        <v>526</v>
      </c>
      <c r="B311" t="str">
        <f t="shared" si="116"/>
        <v>Laboratory - Chlorine Residual by DPD</v>
      </c>
      <c r="C311" t="str">
        <f t="shared" si="117"/>
        <v>25-07709-001</v>
      </c>
      <c r="D311" s="1">
        <f t="shared" si="118"/>
        <v>0.05</v>
      </c>
      <c r="E311" s="1">
        <f t="shared" si="119"/>
        <v>0.05</v>
      </c>
      <c r="F311" s="1">
        <f t="shared" si="120"/>
        <v>0.05</v>
      </c>
      <c r="G311" s="1">
        <f t="shared" si="121"/>
        <v>0.05</v>
      </c>
      <c r="H311" s="1">
        <f t="shared" si="122"/>
        <v>0.05</v>
      </c>
      <c r="I311" s="1">
        <f t="shared" si="123"/>
        <v>0</v>
      </c>
    </row>
    <row r="312" spans="1:9" x14ac:dyDescent="0.3">
      <c r="A312" s="62" t="s">
        <v>91</v>
      </c>
      <c r="B312" t="str">
        <f t="shared" si="116"/>
        <v>Water Sources Part 1</v>
      </c>
      <c r="C312" t="str">
        <f t="shared" si="117"/>
        <v>25-06035-001</v>
      </c>
      <c r="D312" s="1">
        <f t="shared" si="118"/>
        <v>0.15</v>
      </c>
      <c r="E312" s="1">
        <f t="shared" si="119"/>
        <v>0.15</v>
      </c>
      <c r="F312" s="1">
        <f t="shared" si="120"/>
        <v>0</v>
      </c>
      <c r="G312" s="1">
        <f t="shared" si="121"/>
        <v>0</v>
      </c>
      <c r="H312" s="1">
        <f t="shared" si="122"/>
        <v>0.15</v>
      </c>
      <c r="I312" s="1">
        <f t="shared" si="123"/>
        <v>0</v>
      </c>
    </row>
    <row r="313" spans="1:9" x14ac:dyDescent="0.3">
      <c r="A313" s="62" t="s">
        <v>92</v>
      </c>
      <c r="B313" t="str">
        <f t="shared" si="116"/>
        <v>Water Sources Part 2</v>
      </c>
      <c r="C313" t="str">
        <f t="shared" si="117"/>
        <v>25-06036-001</v>
      </c>
      <c r="D313" s="1">
        <f t="shared" si="118"/>
        <v>0.1</v>
      </c>
      <c r="E313" s="1">
        <f t="shared" si="119"/>
        <v>0.1</v>
      </c>
      <c r="F313" s="1">
        <f t="shared" si="120"/>
        <v>0</v>
      </c>
      <c r="G313" s="1">
        <f t="shared" si="121"/>
        <v>0.1</v>
      </c>
      <c r="H313" s="1">
        <f t="shared" si="122"/>
        <v>0.1</v>
      </c>
      <c r="I313" s="1">
        <f t="shared" si="123"/>
        <v>0</v>
      </c>
    </row>
    <row r="314" spans="1:9" x14ac:dyDescent="0.3">
      <c r="A314" s="62" t="s">
        <v>93</v>
      </c>
      <c r="B314" t="str">
        <f t="shared" si="116"/>
        <v>Drinking Water Treatment Part 1</v>
      </c>
      <c r="C314" t="str">
        <f t="shared" si="117"/>
        <v>25-06037-001</v>
      </c>
      <c r="D314" s="1">
        <f t="shared" si="118"/>
        <v>0.25</v>
      </c>
      <c r="E314" s="1">
        <f t="shared" si="119"/>
        <v>0.25</v>
      </c>
      <c r="F314" s="1">
        <f t="shared" si="120"/>
        <v>0</v>
      </c>
      <c r="G314" s="1">
        <f t="shared" si="121"/>
        <v>0</v>
      </c>
      <c r="H314" s="1">
        <f t="shared" si="122"/>
        <v>0</v>
      </c>
      <c r="I314" s="1">
        <f t="shared" si="123"/>
        <v>0</v>
      </c>
    </row>
    <row r="315" spans="1:9" x14ac:dyDescent="0.3">
      <c r="A315" s="62" t="s">
        <v>94</v>
      </c>
      <c r="B315" t="str">
        <f t="shared" si="116"/>
        <v>Water Treatment Part 2 (Disinfection, Water Focus)</v>
      </c>
      <c r="C315" t="str">
        <f t="shared" si="117"/>
        <v>25-06038-001</v>
      </c>
      <c r="D315" s="1">
        <f t="shared" si="118"/>
        <v>0.25</v>
      </c>
      <c r="E315" s="1">
        <f t="shared" si="119"/>
        <v>0.25</v>
      </c>
      <c r="F315" s="1">
        <f t="shared" si="120"/>
        <v>0.25</v>
      </c>
      <c r="G315" s="1">
        <f t="shared" si="121"/>
        <v>0.25</v>
      </c>
      <c r="H315" s="1">
        <f t="shared" si="122"/>
        <v>0.25</v>
      </c>
      <c r="I315" s="1">
        <f t="shared" si="123"/>
        <v>0</v>
      </c>
    </row>
    <row r="316" spans="1:9" x14ac:dyDescent="0.3">
      <c r="A316" s="62" t="s">
        <v>96</v>
      </c>
      <c r="B316" t="str">
        <f t="shared" si="116"/>
        <v>MRT Drinking Water Regulatory Course</v>
      </c>
      <c r="C316" t="str">
        <f t="shared" si="117"/>
        <v>25-06743-002</v>
      </c>
      <c r="D316" s="1">
        <f t="shared" si="118"/>
        <v>0.3</v>
      </c>
      <c r="E316" s="1">
        <f t="shared" si="119"/>
        <v>0.3</v>
      </c>
      <c r="F316" s="1">
        <f t="shared" si="120"/>
        <v>0</v>
      </c>
      <c r="G316" s="1">
        <f t="shared" si="121"/>
        <v>0</v>
      </c>
      <c r="H316" s="1">
        <f t="shared" si="122"/>
        <v>0.3</v>
      </c>
      <c r="I316" s="1">
        <f t="shared" si="123"/>
        <v>0</v>
      </c>
    </row>
    <row r="317" spans="1:9" x14ac:dyDescent="0.3">
      <c r="A317" s="62" t="s">
        <v>69</v>
      </c>
      <c r="B317" t="str">
        <f t="shared" si="116"/>
        <v>Fixed Film: Trickling Filters and RBCs</v>
      </c>
      <c r="C317" t="str">
        <f t="shared" si="117"/>
        <v>25-06008-001</v>
      </c>
      <c r="D317" s="1">
        <f t="shared" si="118"/>
        <v>0.2</v>
      </c>
      <c r="E317" s="1">
        <f t="shared" si="119"/>
        <v>0</v>
      </c>
      <c r="F317" s="1">
        <f t="shared" si="120"/>
        <v>0.2</v>
      </c>
      <c r="G317" s="1">
        <f t="shared" si="121"/>
        <v>0.2</v>
      </c>
      <c r="H317" s="1">
        <f t="shared" si="122"/>
        <v>0</v>
      </c>
      <c r="I317" s="1">
        <f t="shared" si="123"/>
        <v>0</v>
      </c>
    </row>
    <row r="318" spans="1:9" x14ac:dyDescent="0.3">
      <c r="A318" s="62" t="s">
        <v>699</v>
      </c>
      <c r="B318" t="str">
        <f t="shared" si="116"/>
        <v>MRT for Wastewater Treatment and Collection Systems</v>
      </c>
      <c r="C318" t="str">
        <f t="shared" si="117"/>
        <v>25-06840-002</v>
      </c>
      <c r="D318" s="1">
        <f t="shared" si="118"/>
        <v>0.25</v>
      </c>
      <c r="E318" s="1">
        <f t="shared" si="119"/>
        <v>0</v>
      </c>
      <c r="F318" s="1">
        <f t="shared" si="120"/>
        <v>0.25</v>
      </c>
      <c r="G318" s="1">
        <f t="shared" si="121"/>
        <v>0.25</v>
      </c>
      <c r="H318" s="1">
        <f t="shared" si="122"/>
        <v>0</v>
      </c>
      <c r="I318" s="1">
        <f t="shared" si="123"/>
        <v>0.25</v>
      </c>
    </row>
    <row r="319" spans="1:9" x14ac:dyDescent="0.3">
      <c r="A319" t="s">
        <v>319</v>
      </c>
      <c r="D319" s="1">
        <f>SUM(Table3910121821263133353638[Max])</f>
        <v>1.95</v>
      </c>
      <c r="E319" s="1">
        <f>SUM(Table3910121821263133353638[W])</f>
        <v>1.3</v>
      </c>
      <c r="F319" s="1">
        <f>SUM(Table3910121821263133353638[WW])</f>
        <v>1.1499999999999999</v>
      </c>
      <c r="G319" s="1">
        <f>SUM(Table3910121821263133353638[I])</f>
        <v>1.25</v>
      </c>
      <c r="H319" s="1">
        <f>SUM(Table3910121821263133353638[D])</f>
        <v>1.05</v>
      </c>
      <c r="I319" s="1">
        <f>SUM(Table3910121821263133353638[C])</f>
        <v>0.65</v>
      </c>
    </row>
    <row r="321" spans="1:9" x14ac:dyDescent="0.3">
      <c r="A321" s="6" t="s">
        <v>2126</v>
      </c>
      <c r="I321" s="63">
        <f>(D338-0.55)*10*20*0.9+1</f>
        <v>361</v>
      </c>
    </row>
    <row r="322" spans="1:9" x14ac:dyDescent="0.3">
      <c r="A322" t="s">
        <v>1898</v>
      </c>
      <c r="B322" t="s">
        <v>279</v>
      </c>
      <c r="C322" t="s">
        <v>1900</v>
      </c>
      <c r="D322" s="1" t="s">
        <v>1187</v>
      </c>
      <c r="E322" s="1" t="s">
        <v>22</v>
      </c>
      <c r="F322" s="1" t="s">
        <v>23</v>
      </c>
      <c r="G322" s="1" t="s">
        <v>26</v>
      </c>
      <c r="H322" s="1" t="s">
        <v>25</v>
      </c>
      <c r="I322" s="1" t="s">
        <v>24</v>
      </c>
    </row>
    <row r="323" spans="1:9" x14ac:dyDescent="0.3">
      <c r="A323" s="62" t="s">
        <v>53</v>
      </c>
      <c r="B323" t="str">
        <f t="shared" ref="B323:B337" si="124">LOOKUP($A323,$AE:$AE,AF:AF)</f>
        <v>Pumps</v>
      </c>
      <c r="C323" t="str">
        <f t="shared" ref="C323:C337" si="125">LOOKUP($A323,$AE:$AE,AG:AG)</f>
        <v>25-06046-002</v>
      </c>
      <c r="D323" s="1">
        <f t="shared" ref="D323:D337" si="126">LOOKUP($A323,$AE:$AE,AH:AH)</f>
        <v>0.2</v>
      </c>
      <c r="E323" s="1">
        <f t="shared" ref="E323:E337" si="127">LOOKUP($A323,$AE:$AE,AI:AI)</f>
        <v>0.2</v>
      </c>
      <c r="F323" s="1">
        <f t="shared" ref="F323:F337" si="128">LOOKUP($A323,$AE:$AE,AJ:AJ)</f>
        <v>0.2</v>
      </c>
      <c r="G323" s="1">
        <f t="shared" ref="G323:G337" si="129">LOOKUP($A323,$AE:$AE,AK:AK)</f>
        <v>0.2</v>
      </c>
      <c r="H323" s="1">
        <f t="shared" ref="H323:H337" si="130">LOOKUP($A323,$AE:$AE,AL:AL)</f>
        <v>0.2</v>
      </c>
      <c r="I323" s="1">
        <f t="shared" ref="I323:I337" si="131">LOOKUP($A323,$AE:$AE,AM:AM)</f>
        <v>0.2</v>
      </c>
    </row>
    <row r="324" spans="1:9" x14ac:dyDescent="0.3">
      <c r="A324" s="62" t="s">
        <v>1052</v>
      </c>
      <c r="B324" t="str">
        <f t="shared" si="124"/>
        <v>Backflow Preventers</v>
      </c>
      <c r="C324" t="str">
        <f t="shared" si="125"/>
        <v>25-08959-001</v>
      </c>
      <c r="D324" s="1">
        <f t="shared" si="126"/>
        <v>0.05</v>
      </c>
      <c r="E324" s="1">
        <f t="shared" si="127"/>
        <v>0.05</v>
      </c>
      <c r="F324" s="1">
        <f t="shared" si="128"/>
        <v>0.05</v>
      </c>
      <c r="G324" s="1">
        <f t="shared" si="129"/>
        <v>0.05</v>
      </c>
      <c r="H324" s="1">
        <f t="shared" si="130"/>
        <v>0.05</v>
      </c>
      <c r="I324" s="1">
        <f t="shared" si="131"/>
        <v>0.05</v>
      </c>
    </row>
    <row r="325" spans="1:9" x14ac:dyDescent="0.3">
      <c r="A325" s="62" t="s">
        <v>61</v>
      </c>
      <c r="B325" t="str">
        <f t="shared" si="124"/>
        <v>Lift Stations</v>
      </c>
      <c r="C325" t="str">
        <f t="shared" si="125"/>
        <v>25-06003-001</v>
      </c>
      <c r="D325" s="1">
        <f t="shared" si="126"/>
        <v>0.2</v>
      </c>
      <c r="E325" s="1">
        <f t="shared" si="127"/>
        <v>0</v>
      </c>
      <c r="F325" s="1">
        <f t="shared" si="128"/>
        <v>0.2</v>
      </c>
      <c r="G325" s="1">
        <f t="shared" si="129"/>
        <v>0.2</v>
      </c>
      <c r="H325" s="1">
        <f t="shared" si="130"/>
        <v>0</v>
      </c>
      <c r="I325" s="1">
        <f t="shared" si="131"/>
        <v>0.2</v>
      </c>
    </row>
    <row r="326" spans="1:9" x14ac:dyDescent="0.3">
      <c r="A326" s="62" t="s">
        <v>526</v>
      </c>
      <c r="B326" t="str">
        <f t="shared" si="124"/>
        <v>Laboratory - Chlorine Residual by DPD</v>
      </c>
      <c r="C326" t="str">
        <f t="shared" si="125"/>
        <v>25-07709-001</v>
      </c>
      <c r="D326" s="1">
        <f t="shared" si="126"/>
        <v>0.05</v>
      </c>
      <c r="E326" s="1">
        <f t="shared" si="127"/>
        <v>0.05</v>
      </c>
      <c r="F326" s="1">
        <f t="shared" si="128"/>
        <v>0.05</v>
      </c>
      <c r="G326" s="1">
        <f t="shared" si="129"/>
        <v>0.05</v>
      </c>
      <c r="H326" s="1">
        <f t="shared" si="130"/>
        <v>0.05</v>
      </c>
      <c r="I326" s="1">
        <f t="shared" si="131"/>
        <v>0</v>
      </c>
    </row>
    <row r="327" spans="1:9" x14ac:dyDescent="0.3">
      <c r="A327" s="62" t="s">
        <v>91</v>
      </c>
      <c r="B327" t="str">
        <f t="shared" si="124"/>
        <v>Water Sources Part 1</v>
      </c>
      <c r="C327" t="str">
        <f t="shared" si="125"/>
        <v>25-06035-001</v>
      </c>
      <c r="D327" s="1">
        <f t="shared" si="126"/>
        <v>0.15</v>
      </c>
      <c r="E327" s="1">
        <f t="shared" si="127"/>
        <v>0.15</v>
      </c>
      <c r="F327" s="1">
        <f t="shared" si="128"/>
        <v>0</v>
      </c>
      <c r="G327" s="1">
        <f t="shared" si="129"/>
        <v>0</v>
      </c>
      <c r="H327" s="1">
        <f t="shared" si="130"/>
        <v>0.15</v>
      </c>
      <c r="I327" s="1">
        <f t="shared" si="131"/>
        <v>0</v>
      </c>
    </row>
    <row r="328" spans="1:9" x14ac:dyDescent="0.3">
      <c r="A328" s="62" t="s">
        <v>92</v>
      </c>
      <c r="B328" t="str">
        <f t="shared" si="124"/>
        <v>Water Sources Part 2</v>
      </c>
      <c r="C328" t="str">
        <f t="shared" si="125"/>
        <v>25-06036-001</v>
      </c>
      <c r="D328" s="1">
        <f t="shared" si="126"/>
        <v>0.1</v>
      </c>
      <c r="E328" s="1">
        <f t="shared" si="127"/>
        <v>0.1</v>
      </c>
      <c r="F328" s="1">
        <f t="shared" si="128"/>
        <v>0</v>
      </c>
      <c r="G328" s="1">
        <f t="shared" si="129"/>
        <v>0.1</v>
      </c>
      <c r="H328" s="1">
        <f t="shared" si="130"/>
        <v>0.1</v>
      </c>
      <c r="I328" s="1">
        <f t="shared" si="131"/>
        <v>0</v>
      </c>
    </row>
    <row r="329" spans="1:9" x14ac:dyDescent="0.3">
      <c r="A329" s="62" t="s">
        <v>93</v>
      </c>
      <c r="B329" t="str">
        <f t="shared" si="124"/>
        <v>Drinking Water Treatment Part 1</v>
      </c>
      <c r="C329" t="str">
        <f t="shared" si="125"/>
        <v>25-06037-001</v>
      </c>
      <c r="D329" s="1">
        <f t="shared" si="126"/>
        <v>0.25</v>
      </c>
      <c r="E329" s="1">
        <f t="shared" si="127"/>
        <v>0.25</v>
      </c>
      <c r="F329" s="1">
        <f t="shared" si="128"/>
        <v>0</v>
      </c>
      <c r="G329" s="1">
        <f t="shared" si="129"/>
        <v>0</v>
      </c>
      <c r="H329" s="1">
        <f t="shared" si="130"/>
        <v>0</v>
      </c>
      <c r="I329" s="1">
        <f t="shared" si="131"/>
        <v>0</v>
      </c>
    </row>
    <row r="330" spans="1:9" x14ac:dyDescent="0.3">
      <c r="A330" s="62" t="s">
        <v>94</v>
      </c>
      <c r="B330" t="str">
        <f t="shared" si="124"/>
        <v>Water Treatment Part 2 (Disinfection, Water Focus)</v>
      </c>
      <c r="C330" t="str">
        <f t="shared" si="125"/>
        <v>25-06038-001</v>
      </c>
      <c r="D330" s="1">
        <f t="shared" si="126"/>
        <v>0.25</v>
      </c>
      <c r="E330" s="1">
        <f t="shared" si="127"/>
        <v>0.25</v>
      </c>
      <c r="F330" s="1">
        <f t="shared" si="128"/>
        <v>0.25</v>
      </c>
      <c r="G330" s="1">
        <f t="shared" si="129"/>
        <v>0.25</v>
      </c>
      <c r="H330" s="1">
        <f t="shared" si="130"/>
        <v>0.25</v>
      </c>
      <c r="I330" s="1">
        <f t="shared" si="131"/>
        <v>0</v>
      </c>
    </row>
    <row r="331" spans="1:9" x14ac:dyDescent="0.3">
      <c r="A331" s="62" t="s">
        <v>96</v>
      </c>
      <c r="B331" t="str">
        <f t="shared" si="124"/>
        <v>MRT Drinking Water Regulatory Course</v>
      </c>
      <c r="C331" t="str">
        <f t="shared" si="125"/>
        <v>25-06743-002</v>
      </c>
      <c r="D331" s="1">
        <f t="shared" si="126"/>
        <v>0.3</v>
      </c>
      <c r="E331" s="1">
        <f t="shared" si="127"/>
        <v>0.3</v>
      </c>
      <c r="F331" s="1">
        <f t="shared" si="128"/>
        <v>0</v>
      </c>
      <c r="G331" s="1">
        <f t="shared" si="129"/>
        <v>0</v>
      </c>
      <c r="H331" s="1">
        <f t="shared" si="130"/>
        <v>0.3</v>
      </c>
      <c r="I331" s="1">
        <f t="shared" si="131"/>
        <v>0</v>
      </c>
    </row>
    <row r="332" spans="1:9" x14ac:dyDescent="0.3">
      <c r="A332" s="62" t="s">
        <v>69</v>
      </c>
      <c r="B332" t="str">
        <f t="shared" si="124"/>
        <v>Fixed Film: Trickling Filters and RBCs</v>
      </c>
      <c r="C332" t="str">
        <f t="shared" si="125"/>
        <v>25-06008-001</v>
      </c>
      <c r="D332" s="1">
        <f t="shared" si="126"/>
        <v>0.2</v>
      </c>
      <c r="E332" s="1">
        <f t="shared" si="127"/>
        <v>0</v>
      </c>
      <c r="F332" s="1">
        <f t="shared" si="128"/>
        <v>0.2</v>
      </c>
      <c r="G332" s="1">
        <f t="shared" si="129"/>
        <v>0.2</v>
      </c>
      <c r="H332" s="1">
        <f t="shared" si="130"/>
        <v>0</v>
      </c>
      <c r="I332" s="1">
        <f t="shared" si="131"/>
        <v>0</v>
      </c>
    </row>
    <row r="333" spans="1:9" x14ac:dyDescent="0.3">
      <c r="A333" s="62" t="s">
        <v>74</v>
      </c>
      <c r="B333" t="str">
        <f t="shared" si="124"/>
        <v>Top 10 Questions for Activated Sludge Process Control</v>
      </c>
      <c r="C333" t="str">
        <f t="shared" si="125"/>
        <v>25-07727-001</v>
      </c>
      <c r="D333" s="1">
        <f t="shared" si="126"/>
        <v>0.25</v>
      </c>
      <c r="E333" s="1">
        <f t="shared" si="127"/>
        <v>0</v>
      </c>
      <c r="F333" s="1">
        <f t="shared" si="128"/>
        <v>0.25</v>
      </c>
      <c r="G333" s="1">
        <f t="shared" si="129"/>
        <v>0.25</v>
      </c>
      <c r="H333" s="1">
        <f t="shared" si="130"/>
        <v>0</v>
      </c>
      <c r="I333" s="1">
        <f t="shared" si="131"/>
        <v>0</v>
      </c>
    </row>
    <row r="334" spans="1:9" x14ac:dyDescent="0.3">
      <c r="A334" s="62" t="s">
        <v>892</v>
      </c>
      <c r="B334" t="str">
        <f t="shared" si="124"/>
        <v>Activated Sludge Microbiology: A View Beneath the Surface</v>
      </c>
      <c r="C334" t="str">
        <f t="shared" si="125"/>
        <v>25-08900-001</v>
      </c>
      <c r="D334" s="1">
        <f t="shared" si="126"/>
        <v>0.1</v>
      </c>
      <c r="E334" s="1">
        <f t="shared" si="127"/>
        <v>0</v>
      </c>
      <c r="F334" s="1">
        <f t="shared" si="128"/>
        <v>0.1</v>
      </c>
      <c r="G334" s="1">
        <f t="shared" si="129"/>
        <v>0.1</v>
      </c>
      <c r="H334" s="1">
        <f t="shared" si="130"/>
        <v>0</v>
      </c>
      <c r="I334" s="1">
        <f t="shared" si="131"/>
        <v>0</v>
      </c>
    </row>
    <row r="335" spans="1:9" x14ac:dyDescent="0.3">
      <c r="A335" s="62" t="s">
        <v>893</v>
      </c>
      <c r="B335" t="str">
        <f t="shared" si="124"/>
        <v>Activated Sludge Microbiology: Microscope Basics and the Micro Exam</v>
      </c>
      <c r="C335" t="str">
        <f t="shared" si="125"/>
        <v>25-08901-001</v>
      </c>
      <c r="D335" s="1">
        <f t="shared" si="126"/>
        <v>0.1</v>
      </c>
      <c r="E335" s="1">
        <f t="shared" si="127"/>
        <v>0</v>
      </c>
      <c r="F335" s="1">
        <f t="shared" si="128"/>
        <v>0.1</v>
      </c>
      <c r="G335" s="1">
        <f t="shared" si="129"/>
        <v>0.1</v>
      </c>
      <c r="H335" s="1">
        <f t="shared" si="130"/>
        <v>0</v>
      </c>
      <c r="I335" s="1">
        <f t="shared" si="131"/>
        <v>0</v>
      </c>
    </row>
    <row r="336" spans="1:9" x14ac:dyDescent="0.3">
      <c r="A336" s="62" t="s">
        <v>75</v>
      </c>
      <c r="B336" t="str">
        <f t="shared" si="124"/>
        <v>Activated Sludge Microbiology: Filaments and Settling Problems</v>
      </c>
      <c r="C336" t="str">
        <f t="shared" si="125"/>
        <v>25-08902-001</v>
      </c>
      <c r="D336" s="1">
        <f t="shared" si="126"/>
        <v>0.1</v>
      </c>
      <c r="E336" s="1">
        <f t="shared" si="127"/>
        <v>0</v>
      </c>
      <c r="F336" s="1">
        <f t="shared" si="128"/>
        <v>0.1</v>
      </c>
      <c r="G336" s="1">
        <f t="shared" si="129"/>
        <v>0.1</v>
      </c>
      <c r="H336" s="1">
        <f t="shared" si="130"/>
        <v>0</v>
      </c>
      <c r="I336" s="1">
        <f t="shared" si="131"/>
        <v>0</v>
      </c>
    </row>
    <row r="337" spans="1:9" x14ac:dyDescent="0.3">
      <c r="A337" s="62" t="s">
        <v>699</v>
      </c>
      <c r="B337" t="str">
        <f t="shared" si="124"/>
        <v>MRT for Wastewater Treatment and Collection Systems</v>
      </c>
      <c r="C337" t="str">
        <f t="shared" si="125"/>
        <v>25-06840-002</v>
      </c>
      <c r="D337" s="1">
        <f t="shared" si="126"/>
        <v>0.25</v>
      </c>
      <c r="E337" s="1">
        <f t="shared" si="127"/>
        <v>0</v>
      </c>
      <c r="F337" s="1">
        <f t="shared" si="128"/>
        <v>0.25</v>
      </c>
      <c r="G337" s="1">
        <f t="shared" si="129"/>
        <v>0.25</v>
      </c>
      <c r="H337" s="1">
        <f t="shared" si="130"/>
        <v>0</v>
      </c>
      <c r="I337" s="1">
        <f t="shared" si="131"/>
        <v>0.25</v>
      </c>
    </row>
    <row r="338" spans="1:9" x14ac:dyDescent="0.3">
      <c r="A338" t="s">
        <v>319</v>
      </c>
      <c r="D338" s="1">
        <f>SUM(Table3910121821263133353639[Max])</f>
        <v>2.5500000000000003</v>
      </c>
      <c r="E338" s="1">
        <f>SUM(Table3910121821263133353639[W])</f>
        <v>1.3499999999999999</v>
      </c>
      <c r="F338" s="1">
        <f>SUM(Table3910121821263133353639[WW])</f>
        <v>1.7500000000000002</v>
      </c>
      <c r="G338" s="1">
        <f>SUM(Table3910121821263133353639[I])</f>
        <v>1.8500000000000003</v>
      </c>
      <c r="H338" s="1">
        <f>SUM(Table3910121821263133353639[D])</f>
        <v>1.0999999999999999</v>
      </c>
      <c r="I338" s="1">
        <f>SUM(Table3910121821263133353639[C])</f>
        <v>0.7</v>
      </c>
    </row>
    <row r="340" spans="1:9" x14ac:dyDescent="0.3">
      <c r="A340" s="6" t="s">
        <v>2127</v>
      </c>
      <c r="I340" s="63">
        <f>(D360-0.55)*10*20*0.9+1</f>
        <v>451.00000000000011</v>
      </c>
    </row>
    <row r="341" spans="1:9" x14ac:dyDescent="0.3">
      <c r="A341" t="s">
        <v>1898</v>
      </c>
      <c r="B341" t="s">
        <v>279</v>
      </c>
      <c r="C341" t="s">
        <v>1900</v>
      </c>
      <c r="D341" s="1" t="s">
        <v>1187</v>
      </c>
      <c r="E341" s="1" t="s">
        <v>22</v>
      </c>
      <c r="F341" s="1" t="s">
        <v>23</v>
      </c>
      <c r="G341" s="1" t="s">
        <v>26</v>
      </c>
      <c r="H341" s="1" t="s">
        <v>25</v>
      </c>
      <c r="I341" s="1" t="s">
        <v>24</v>
      </c>
    </row>
    <row r="342" spans="1:9" x14ac:dyDescent="0.3">
      <c r="A342" s="62" t="s">
        <v>53</v>
      </c>
      <c r="B342" t="str">
        <f t="shared" ref="B342:B359" si="132">LOOKUP($A342,$AE:$AE,AF:AF)</f>
        <v>Pumps</v>
      </c>
      <c r="C342" t="str">
        <f t="shared" ref="C342:C359" si="133">LOOKUP($A342,$AE:$AE,AG:AG)</f>
        <v>25-06046-002</v>
      </c>
      <c r="D342" s="1">
        <f t="shared" ref="D342:D359" si="134">LOOKUP($A342,$AE:$AE,AH:AH)</f>
        <v>0.2</v>
      </c>
      <c r="E342" s="1">
        <f t="shared" ref="E342:E359" si="135">LOOKUP($A342,$AE:$AE,AI:AI)</f>
        <v>0.2</v>
      </c>
      <c r="F342" s="1">
        <f t="shared" ref="F342:F359" si="136">LOOKUP($A342,$AE:$AE,AJ:AJ)</f>
        <v>0.2</v>
      </c>
      <c r="G342" s="1">
        <f t="shared" ref="G342:G359" si="137">LOOKUP($A342,$AE:$AE,AK:AK)</f>
        <v>0.2</v>
      </c>
      <c r="H342" s="1">
        <f t="shared" ref="H342:H359" si="138">LOOKUP($A342,$AE:$AE,AL:AL)</f>
        <v>0.2</v>
      </c>
      <c r="I342" s="1">
        <f t="shared" ref="I342:I359" si="139">LOOKUP($A342,$AE:$AE,AM:AM)</f>
        <v>0.2</v>
      </c>
    </row>
    <row r="343" spans="1:9" x14ac:dyDescent="0.3">
      <c r="A343" s="62" t="s">
        <v>516</v>
      </c>
      <c r="B343" t="str">
        <f t="shared" si="132"/>
        <v>Maintenance</v>
      </c>
      <c r="C343" t="str">
        <f t="shared" si="133"/>
        <v>25-05993-001</v>
      </c>
      <c r="D343" s="1">
        <f t="shared" si="134"/>
        <v>0.15</v>
      </c>
      <c r="E343" s="1">
        <f t="shared" si="135"/>
        <v>0.15</v>
      </c>
      <c r="F343" s="1">
        <f t="shared" si="136"/>
        <v>0.15</v>
      </c>
      <c r="G343" s="1">
        <f t="shared" si="137"/>
        <v>0.15</v>
      </c>
      <c r="H343" s="1">
        <f t="shared" si="138"/>
        <v>0.15</v>
      </c>
      <c r="I343" s="1">
        <f t="shared" si="139"/>
        <v>0.15</v>
      </c>
    </row>
    <row r="344" spans="1:9" x14ac:dyDescent="0.3">
      <c r="A344" s="62" t="s">
        <v>517</v>
      </c>
      <c r="B344" t="str">
        <f t="shared" si="132"/>
        <v>Disinfection Byproducts</v>
      </c>
      <c r="C344" t="str">
        <f t="shared" si="133"/>
        <v>25-05996-001</v>
      </c>
      <c r="D344" s="1">
        <f t="shared" si="134"/>
        <v>0.15</v>
      </c>
      <c r="E344" s="1">
        <f t="shared" si="135"/>
        <v>0.15</v>
      </c>
      <c r="F344" s="1">
        <f t="shared" si="136"/>
        <v>0</v>
      </c>
      <c r="G344" s="1">
        <f t="shared" si="137"/>
        <v>0</v>
      </c>
      <c r="H344" s="1">
        <f t="shared" si="138"/>
        <v>0.15</v>
      </c>
      <c r="I344" s="1">
        <f t="shared" si="139"/>
        <v>0</v>
      </c>
    </row>
    <row r="345" spans="1:9" x14ac:dyDescent="0.3">
      <c r="A345" s="62" t="s">
        <v>1052</v>
      </c>
      <c r="B345" t="str">
        <f t="shared" si="132"/>
        <v>Backflow Preventers</v>
      </c>
      <c r="C345" t="str">
        <f t="shared" si="133"/>
        <v>25-08959-001</v>
      </c>
      <c r="D345" s="1">
        <f t="shared" si="134"/>
        <v>0.05</v>
      </c>
      <c r="E345" s="1">
        <f t="shared" si="135"/>
        <v>0.05</v>
      </c>
      <c r="F345" s="1">
        <f t="shared" si="136"/>
        <v>0.05</v>
      </c>
      <c r="G345" s="1">
        <f t="shared" si="137"/>
        <v>0.05</v>
      </c>
      <c r="H345" s="1">
        <f t="shared" si="138"/>
        <v>0.05</v>
      </c>
      <c r="I345" s="1">
        <f t="shared" si="139"/>
        <v>0.05</v>
      </c>
    </row>
    <row r="346" spans="1:9" x14ac:dyDescent="0.3">
      <c r="A346" s="62" t="s">
        <v>61</v>
      </c>
      <c r="B346" t="str">
        <f t="shared" si="132"/>
        <v>Lift Stations</v>
      </c>
      <c r="C346" t="str">
        <f t="shared" si="133"/>
        <v>25-06003-001</v>
      </c>
      <c r="D346" s="1">
        <f t="shared" si="134"/>
        <v>0.2</v>
      </c>
      <c r="E346" s="1">
        <f t="shared" si="135"/>
        <v>0</v>
      </c>
      <c r="F346" s="1">
        <f t="shared" si="136"/>
        <v>0.2</v>
      </c>
      <c r="G346" s="1">
        <f t="shared" si="137"/>
        <v>0.2</v>
      </c>
      <c r="H346" s="1">
        <f t="shared" si="138"/>
        <v>0</v>
      </c>
      <c r="I346" s="1">
        <f t="shared" si="139"/>
        <v>0.2</v>
      </c>
    </row>
    <row r="347" spans="1:9" x14ac:dyDescent="0.3">
      <c r="A347" s="62" t="s">
        <v>526</v>
      </c>
      <c r="B347" t="str">
        <f t="shared" si="132"/>
        <v>Laboratory - Chlorine Residual by DPD</v>
      </c>
      <c r="C347" t="str">
        <f t="shared" si="133"/>
        <v>25-07709-001</v>
      </c>
      <c r="D347" s="1">
        <f t="shared" si="134"/>
        <v>0.05</v>
      </c>
      <c r="E347" s="1">
        <f t="shared" si="135"/>
        <v>0.05</v>
      </c>
      <c r="F347" s="1">
        <f t="shared" si="136"/>
        <v>0.05</v>
      </c>
      <c r="G347" s="1">
        <f t="shared" si="137"/>
        <v>0.05</v>
      </c>
      <c r="H347" s="1">
        <f t="shared" si="138"/>
        <v>0.05</v>
      </c>
      <c r="I347" s="1">
        <f t="shared" si="139"/>
        <v>0</v>
      </c>
    </row>
    <row r="348" spans="1:9" x14ac:dyDescent="0.3">
      <c r="A348" s="62" t="s">
        <v>91</v>
      </c>
      <c r="B348" t="str">
        <f t="shared" si="132"/>
        <v>Water Sources Part 1</v>
      </c>
      <c r="C348" t="str">
        <f t="shared" si="133"/>
        <v>25-06035-001</v>
      </c>
      <c r="D348" s="1">
        <f t="shared" si="134"/>
        <v>0.15</v>
      </c>
      <c r="E348" s="1">
        <f t="shared" si="135"/>
        <v>0.15</v>
      </c>
      <c r="F348" s="1">
        <f t="shared" si="136"/>
        <v>0</v>
      </c>
      <c r="G348" s="1">
        <f t="shared" si="137"/>
        <v>0</v>
      </c>
      <c r="H348" s="1">
        <f t="shared" si="138"/>
        <v>0.15</v>
      </c>
      <c r="I348" s="1">
        <f t="shared" si="139"/>
        <v>0</v>
      </c>
    </row>
    <row r="349" spans="1:9" x14ac:dyDescent="0.3">
      <c r="A349" s="62" t="s">
        <v>92</v>
      </c>
      <c r="B349" t="str">
        <f t="shared" si="132"/>
        <v>Water Sources Part 2</v>
      </c>
      <c r="C349" t="str">
        <f t="shared" si="133"/>
        <v>25-06036-001</v>
      </c>
      <c r="D349" s="1">
        <f t="shared" si="134"/>
        <v>0.1</v>
      </c>
      <c r="E349" s="1">
        <f t="shared" si="135"/>
        <v>0.1</v>
      </c>
      <c r="F349" s="1">
        <f t="shared" si="136"/>
        <v>0</v>
      </c>
      <c r="G349" s="1">
        <f t="shared" si="137"/>
        <v>0.1</v>
      </c>
      <c r="H349" s="1">
        <f t="shared" si="138"/>
        <v>0.1</v>
      </c>
      <c r="I349" s="1">
        <f t="shared" si="139"/>
        <v>0</v>
      </c>
    </row>
    <row r="350" spans="1:9" x14ac:dyDescent="0.3">
      <c r="A350" s="62" t="s">
        <v>93</v>
      </c>
      <c r="B350" t="str">
        <f t="shared" si="132"/>
        <v>Drinking Water Treatment Part 1</v>
      </c>
      <c r="C350" t="str">
        <f t="shared" si="133"/>
        <v>25-06037-001</v>
      </c>
      <c r="D350" s="1">
        <f t="shared" si="134"/>
        <v>0.25</v>
      </c>
      <c r="E350" s="1">
        <f t="shared" si="135"/>
        <v>0.25</v>
      </c>
      <c r="F350" s="1">
        <f t="shared" si="136"/>
        <v>0</v>
      </c>
      <c r="G350" s="1">
        <f t="shared" si="137"/>
        <v>0</v>
      </c>
      <c r="H350" s="1">
        <f t="shared" si="138"/>
        <v>0</v>
      </c>
      <c r="I350" s="1">
        <f t="shared" si="139"/>
        <v>0</v>
      </c>
    </row>
    <row r="351" spans="1:9" x14ac:dyDescent="0.3">
      <c r="A351" s="62" t="s">
        <v>94</v>
      </c>
      <c r="B351" t="str">
        <f t="shared" si="132"/>
        <v>Water Treatment Part 2 (Disinfection, Water Focus)</v>
      </c>
      <c r="C351" t="str">
        <f t="shared" si="133"/>
        <v>25-06038-001</v>
      </c>
      <c r="D351" s="1">
        <f t="shared" si="134"/>
        <v>0.25</v>
      </c>
      <c r="E351" s="1">
        <f t="shared" si="135"/>
        <v>0.25</v>
      </c>
      <c r="F351" s="1">
        <f t="shared" si="136"/>
        <v>0.25</v>
      </c>
      <c r="G351" s="1">
        <f t="shared" si="137"/>
        <v>0.25</v>
      </c>
      <c r="H351" s="1">
        <f t="shared" si="138"/>
        <v>0.25</v>
      </c>
      <c r="I351" s="1">
        <f t="shared" si="139"/>
        <v>0</v>
      </c>
    </row>
    <row r="352" spans="1:9" x14ac:dyDescent="0.3">
      <c r="A352" s="62" t="s">
        <v>96</v>
      </c>
      <c r="B352" t="str">
        <f t="shared" si="132"/>
        <v>MRT Drinking Water Regulatory Course</v>
      </c>
      <c r="C352" t="str">
        <f t="shared" si="133"/>
        <v>25-06743-002</v>
      </c>
      <c r="D352" s="1">
        <f t="shared" si="134"/>
        <v>0.3</v>
      </c>
      <c r="E352" s="1">
        <f t="shared" si="135"/>
        <v>0.3</v>
      </c>
      <c r="F352" s="1">
        <f t="shared" si="136"/>
        <v>0</v>
      </c>
      <c r="G352" s="1">
        <f t="shared" si="137"/>
        <v>0</v>
      </c>
      <c r="H352" s="1">
        <f t="shared" si="138"/>
        <v>0.3</v>
      </c>
      <c r="I352" s="1">
        <f t="shared" si="139"/>
        <v>0</v>
      </c>
    </row>
    <row r="353" spans="1:9" x14ac:dyDescent="0.3">
      <c r="A353" s="62" t="s">
        <v>69</v>
      </c>
      <c r="B353" t="str">
        <f t="shared" si="132"/>
        <v>Fixed Film: Trickling Filters and RBCs</v>
      </c>
      <c r="C353" t="str">
        <f t="shared" si="133"/>
        <v>25-06008-001</v>
      </c>
      <c r="D353" s="1">
        <f t="shared" si="134"/>
        <v>0.2</v>
      </c>
      <c r="E353" s="1">
        <f t="shared" si="135"/>
        <v>0</v>
      </c>
      <c r="F353" s="1">
        <f t="shared" si="136"/>
        <v>0.2</v>
      </c>
      <c r="G353" s="1">
        <f t="shared" si="137"/>
        <v>0.2</v>
      </c>
      <c r="H353" s="1">
        <f t="shared" si="138"/>
        <v>0</v>
      </c>
      <c r="I353" s="1">
        <f t="shared" si="139"/>
        <v>0</v>
      </c>
    </row>
    <row r="354" spans="1:9" x14ac:dyDescent="0.3">
      <c r="A354" s="62" t="s">
        <v>1749</v>
      </c>
      <c r="B354" t="str">
        <f t="shared" si="132"/>
        <v>Wastewater Treatment Lagoons</v>
      </c>
      <c r="C354" t="str">
        <f t="shared" si="133"/>
        <v>25-10618-001</v>
      </c>
      <c r="D354" s="1">
        <f t="shared" si="134"/>
        <v>0.2</v>
      </c>
      <c r="E354" s="1">
        <f t="shared" si="135"/>
        <v>0</v>
      </c>
      <c r="F354" s="1">
        <f t="shared" si="136"/>
        <v>0.2</v>
      </c>
      <c r="G354" s="1">
        <f t="shared" si="137"/>
        <v>0.2</v>
      </c>
      <c r="H354" s="1">
        <f t="shared" si="138"/>
        <v>0</v>
      </c>
      <c r="I354" s="1">
        <f t="shared" si="139"/>
        <v>0</v>
      </c>
    </row>
    <row r="355" spans="1:9" x14ac:dyDescent="0.3">
      <c r="A355" s="62" t="s">
        <v>74</v>
      </c>
      <c r="B355" t="str">
        <f t="shared" si="132"/>
        <v>Top 10 Questions for Activated Sludge Process Control</v>
      </c>
      <c r="C355" t="str">
        <f t="shared" si="133"/>
        <v>25-07727-001</v>
      </c>
      <c r="D355" s="1">
        <f t="shared" si="134"/>
        <v>0.25</v>
      </c>
      <c r="E355" s="1">
        <f t="shared" si="135"/>
        <v>0</v>
      </c>
      <c r="F355" s="1">
        <f t="shared" si="136"/>
        <v>0.25</v>
      </c>
      <c r="G355" s="1">
        <f t="shared" si="137"/>
        <v>0.25</v>
      </c>
      <c r="H355" s="1">
        <f t="shared" si="138"/>
        <v>0</v>
      </c>
      <c r="I355" s="1">
        <f t="shared" si="139"/>
        <v>0</v>
      </c>
    </row>
    <row r="356" spans="1:9" x14ac:dyDescent="0.3">
      <c r="A356" s="62" t="s">
        <v>892</v>
      </c>
      <c r="B356" t="str">
        <f t="shared" si="132"/>
        <v>Activated Sludge Microbiology: A View Beneath the Surface</v>
      </c>
      <c r="C356" t="str">
        <f t="shared" si="133"/>
        <v>25-08900-001</v>
      </c>
      <c r="D356" s="1">
        <f t="shared" si="134"/>
        <v>0.1</v>
      </c>
      <c r="E356" s="1">
        <f t="shared" si="135"/>
        <v>0</v>
      </c>
      <c r="F356" s="1">
        <f t="shared" si="136"/>
        <v>0.1</v>
      </c>
      <c r="G356" s="1">
        <f t="shared" si="137"/>
        <v>0.1</v>
      </c>
      <c r="H356" s="1">
        <f t="shared" si="138"/>
        <v>0</v>
      </c>
      <c r="I356" s="1">
        <f t="shared" si="139"/>
        <v>0</v>
      </c>
    </row>
    <row r="357" spans="1:9" x14ac:dyDescent="0.3">
      <c r="A357" s="62" t="s">
        <v>893</v>
      </c>
      <c r="B357" t="str">
        <f t="shared" si="132"/>
        <v>Activated Sludge Microbiology: Microscope Basics and the Micro Exam</v>
      </c>
      <c r="C357" t="str">
        <f t="shared" si="133"/>
        <v>25-08901-001</v>
      </c>
      <c r="D357" s="1">
        <f t="shared" si="134"/>
        <v>0.1</v>
      </c>
      <c r="E357" s="1">
        <f t="shared" si="135"/>
        <v>0</v>
      </c>
      <c r="F357" s="1">
        <f t="shared" si="136"/>
        <v>0.1</v>
      </c>
      <c r="G357" s="1">
        <f t="shared" si="137"/>
        <v>0.1</v>
      </c>
      <c r="H357" s="1">
        <f t="shared" si="138"/>
        <v>0</v>
      </c>
      <c r="I357" s="1">
        <f t="shared" si="139"/>
        <v>0</v>
      </c>
    </row>
    <row r="358" spans="1:9" x14ac:dyDescent="0.3">
      <c r="A358" s="62" t="s">
        <v>75</v>
      </c>
      <c r="B358" t="str">
        <f t="shared" si="132"/>
        <v>Activated Sludge Microbiology: Filaments and Settling Problems</v>
      </c>
      <c r="C358" t="str">
        <f t="shared" si="133"/>
        <v>25-08902-001</v>
      </c>
      <c r="D358" s="1">
        <f t="shared" si="134"/>
        <v>0.1</v>
      </c>
      <c r="E358" s="1">
        <f t="shared" si="135"/>
        <v>0</v>
      </c>
      <c r="F358" s="1">
        <f t="shared" si="136"/>
        <v>0.1</v>
      </c>
      <c r="G358" s="1">
        <f t="shared" si="137"/>
        <v>0.1</v>
      </c>
      <c r="H358" s="1">
        <f t="shared" si="138"/>
        <v>0</v>
      </c>
      <c r="I358" s="1">
        <f t="shared" si="139"/>
        <v>0</v>
      </c>
    </row>
    <row r="359" spans="1:9" x14ac:dyDescent="0.3">
      <c r="A359" s="62" t="s">
        <v>699</v>
      </c>
      <c r="B359" t="str">
        <f t="shared" si="132"/>
        <v>MRT for Wastewater Treatment and Collection Systems</v>
      </c>
      <c r="C359" t="str">
        <f t="shared" si="133"/>
        <v>25-06840-002</v>
      </c>
      <c r="D359" s="1">
        <f t="shared" si="134"/>
        <v>0.25</v>
      </c>
      <c r="E359" s="1">
        <f t="shared" si="135"/>
        <v>0</v>
      </c>
      <c r="F359" s="1">
        <f t="shared" si="136"/>
        <v>0.25</v>
      </c>
      <c r="G359" s="1">
        <f t="shared" si="137"/>
        <v>0.25</v>
      </c>
      <c r="H359" s="1">
        <f t="shared" si="138"/>
        <v>0</v>
      </c>
      <c r="I359" s="1">
        <f t="shared" si="139"/>
        <v>0.25</v>
      </c>
    </row>
    <row r="360" spans="1:9" x14ac:dyDescent="0.3">
      <c r="A360" t="s">
        <v>319</v>
      </c>
      <c r="D360" s="1">
        <f>SUM(Table3910121821263133353641[Max])</f>
        <v>3.0500000000000007</v>
      </c>
      <c r="E360" s="1">
        <f>SUM(Table3910121821263133353641[W])</f>
        <v>1.6500000000000001</v>
      </c>
      <c r="F360" s="1">
        <f>SUM(Table3910121821263133353641[WW])</f>
        <v>2.1000000000000005</v>
      </c>
      <c r="G360" s="1">
        <f>SUM(Table3910121821263133353641[I])</f>
        <v>2.2000000000000002</v>
      </c>
      <c r="H360" s="1">
        <f>SUM(Table3910121821263133353641[D])</f>
        <v>1.4000000000000001</v>
      </c>
      <c r="I360" s="1">
        <f>SUM(Table3910121821263133353641[C])</f>
        <v>0.85</v>
      </c>
    </row>
    <row r="362" spans="1:9" x14ac:dyDescent="0.3">
      <c r="A362" s="6" t="s">
        <v>2128</v>
      </c>
      <c r="I362" s="63">
        <f>(D370-0.55)*10*20*0.9</f>
        <v>144</v>
      </c>
    </row>
    <row r="363" spans="1:9" x14ac:dyDescent="0.3">
      <c r="A363" t="s">
        <v>1898</v>
      </c>
      <c r="B363" t="s">
        <v>279</v>
      </c>
      <c r="C363" t="s">
        <v>1900</v>
      </c>
      <c r="D363" s="1" t="s">
        <v>1187</v>
      </c>
      <c r="E363" s="1" t="s">
        <v>22</v>
      </c>
      <c r="F363" s="1" t="s">
        <v>23</v>
      </c>
      <c r="G363" s="1" t="s">
        <v>26</v>
      </c>
      <c r="H363" s="1" t="s">
        <v>25</v>
      </c>
      <c r="I363" s="1" t="s">
        <v>24</v>
      </c>
    </row>
    <row r="364" spans="1:9" x14ac:dyDescent="0.3">
      <c r="A364" s="62" t="s">
        <v>53</v>
      </c>
      <c r="B364" t="str">
        <f t="shared" ref="B364:I369" si="140">LOOKUP($A364,$AE:$AE,AF:AF)</f>
        <v>Pumps</v>
      </c>
      <c r="C364" t="str">
        <f t="shared" si="140"/>
        <v>25-06046-002</v>
      </c>
      <c r="D364" s="1">
        <f t="shared" si="140"/>
        <v>0.2</v>
      </c>
      <c r="E364" s="1">
        <f t="shared" si="140"/>
        <v>0.2</v>
      </c>
      <c r="F364" s="1">
        <f t="shared" si="140"/>
        <v>0.2</v>
      </c>
      <c r="G364" s="1">
        <f t="shared" si="140"/>
        <v>0.2</v>
      </c>
      <c r="H364" s="1">
        <f t="shared" si="140"/>
        <v>0.2</v>
      </c>
      <c r="I364" s="1">
        <f t="shared" si="140"/>
        <v>0.2</v>
      </c>
    </row>
    <row r="365" spans="1:9" x14ac:dyDescent="0.3">
      <c r="A365" s="62" t="s">
        <v>58</v>
      </c>
      <c r="B365" t="str">
        <f t="shared" si="140"/>
        <v>Introduction to Collections Systems</v>
      </c>
      <c r="C365" t="str">
        <f t="shared" si="140"/>
        <v>25-06000-002</v>
      </c>
      <c r="D365" s="1">
        <f t="shared" si="140"/>
        <v>0.15</v>
      </c>
      <c r="E365" s="1">
        <f t="shared" si="140"/>
        <v>0</v>
      </c>
      <c r="F365" s="1">
        <f t="shared" si="140"/>
        <v>0</v>
      </c>
      <c r="G365" s="1">
        <f t="shared" si="140"/>
        <v>0</v>
      </c>
      <c r="H365" s="1">
        <f t="shared" si="140"/>
        <v>0</v>
      </c>
      <c r="I365" s="1">
        <f t="shared" si="140"/>
        <v>0.15</v>
      </c>
    </row>
    <row r="366" spans="1:9" x14ac:dyDescent="0.3">
      <c r="A366" s="62" t="s">
        <v>94</v>
      </c>
      <c r="B366" t="str">
        <f t="shared" si="140"/>
        <v>Water Treatment Part 2 (Disinfection, Water Focus)</v>
      </c>
      <c r="C366" t="str">
        <f t="shared" si="140"/>
        <v>25-06038-001</v>
      </c>
      <c r="D366" s="1">
        <f t="shared" si="140"/>
        <v>0.25</v>
      </c>
      <c r="E366" s="1">
        <f t="shared" si="140"/>
        <v>0.25</v>
      </c>
      <c r="F366" s="1">
        <f t="shared" si="140"/>
        <v>0.25</v>
      </c>
      <c r="G366" s="1">
        <f t="shared" si="140"/>
        <v>0.25</v>
      </c>
      <c r="H366" s="1">
        <f t="shared" si="140"/>
        <v>0.25</v>
      </c>
      <c r="I366" s="1">
        <f t="shared" si="140"/>
        <v>0</v>
      </c>
    </row>
    <row r="367" spans="1:9" x14ac:dyDescent="0.3">
      <c r="A367" s="62" t="s">
        <v>95</v>
      </c>
      <c r="B367" t="str">
        <f t="shared" si="140"/>
        <v>Intro to Distribution Systems</v>
      </c>
      <c r="C367" t="str">
        <f t="shared" si="140"/>
        <v>25-06696-001</v>
      </c>
      <c r="D367" s="1">
        <f t="shared" si="140"/>
        <v>0.2</v>
      </c>
      <c r="E367" s="1">
        <f t="shared" si="140"/>
        <v>0.1</v>
      </c>
      <c r="F367" s="1">
        <f t="shared" si="140"/>
        <v>0.1</v>
      </c>
      <c r="G367" s="1">
        <f t="shared" si="140"/>
        <v>0.1</v>
      </c>
      <c r="H367" s="1">
        <f t="shared" si="140"/>
        <v>0.2</v>
      </c>
      <c r="I367" s="1">
        <f t="shared" si="140"/>
        <v>0.1</v>
      </c>
    </row>
    <row r="368" spans="1:9" x14ac:dyDescent="0.3">
      <c r="A368" s="62" t="s">
        <v>96</v>
      </c>
      <c r="B368" t="str">
        <f t="shared" si="140"/>
        <v>MRT Drinking Water Regulatory Course</v>
      </c>
      <c r="C368" t="str">
        <f t="shared" si="140"/>
        <v>25-06743-002</v>
      </c>
      <c r="D368" s="1">
        <f t="shared" si="140"/>
        <v>0.3</v>
      </c>
      <c r="E368" s="1">
        <f t="shared" si="140"/>
        <v>0.3</v>
      </c>
      <c r="F368" s="1">
        <f t="shared" si="140"/>
        <v>0</v>
      </c>
      <c r="G368" s="1">
        <f t="shared" si="140"/>
        <v>0</v>
      </c>
      <c r="H368" s="1">
        <f t="shared" si="140"/>
        <v>0.3</v>
      </c>
      <c r="I368" s="1">
        <f t="shared" si="140"/>
        <v>0</v>
      </c>
    </row>
    <row r="369" spans="1:9" x14ac:dyDescent="0.3">
      <c r="A369" s="62" t="s">
        <v>699</v>
      </c>
      <c r="B369" t="str">
        <f t="shared" si="140"/>
        <v>MRT for Wastewater Treatment and Collection Systems</v>
      </c>
      <c r="C369" t="str">
        <f t="shared" si="140"/>
        <v>25-06840-002</v>
      </c>
      <c r="D369" s="1">
        <f t="shared" si="140"/>
        <v>0.25</v>
      </c>
      <c r="E369" s="1">
        <f t="shared" si="140"/>
        <v>0</v>
      </c>
      <c r="F369" s="1">
        <f t="shared" si="140"/>
        <v>0.25</v>
      </c>
      <c r="G369" s="1">
        <f t="shared" si="140"/>
        <v>0.25</v>
      </c>
      <c r="H369" s="1">
        <f t="shared" si="140"/>
        <v>0</v>
      </c>
      <c r="I369" s="1">
        <f t="shared" si="140"/>
        <v>0.25</v>
      </c>
    </row>
    <row r="370" spans="1:9" x14ac:dyDescent="0.3">
      <c r="A370" t="s">
        <v>319</v>
      </c>
      <c r="D370" s="1">
        <f>SUM(Table391012182126313335364142[Max])</f>
        <v>1.35</v>
      </c>
      <c r="E370" s="1">
        <f>SUM(Table391012182126313335364142[W])</f>
        <v>0.85000000000000009</v>
      </c>
      <c r="F370" s="1">
        <f>SUM(Table391012182126313335364142[WW])</f>
        <v>0.8</v>
      </c>
      <c r="G370" s="1">
        <f>SUM(Table391012182126313335364142[I])</f>
        <v>0.8</v>
      </c>
      <c r="H370" s="1">
        <f>SUM(Table391012182126313335364142[D])</f>
        <v>0.95</v>
      </c>
      <c r="I370" s="1">
        <f>SUM(Table391012182126313335364142[C])</f>
        <v>0.7</v>
      </c>
    </row>
    <row r="372" spans="1:9" x14ac:dyDescent="0.3">
      <c r="A372" s="6" t="s">
        <v>2129</v>
      </c>
      <c r="I372" s="63">
        <f>(D383-0.55)*10*20*0.9+1</f>
        <v>262</v>
      </c>
    </row>
    <row r="373" spans="1:9" x14ac:dyDescent="0.3">
      <c r="A373" t="s">
        <v>1898</v>
      </c>
      <c r="B373" t="s">
        <v>279</v>
      </c>
      <c r="C373" t="s">
        <v>1900</v>
      </c>
      <c r="D373" s="1" t="s">
        <v>1187</v>
      </c>
      <c r="E373" s="1" t="s">
        <v>22</v>
      </c>
      <c r="F373" s="1" t="s">
        <v>23</v>
      </c>
      <c r="G373" s="1" t="s">
        <v>26</v>
      </c>
      <c r="H373" s="1" t="s">
        <v>25</v>
      </c>
      <c r="I373" s="1" t="s">
        <v>24</v>
      </c>
    </row>
    <row r="374" spans="1:9" x14ac:dyDescent="0.3">
      <c r="A374" s="62" t="s">
        <v>53</v>
      </c>
      <c r="B374" t="str">
        <f t="shared" ref="B374:B382" si="141">LOOKUP($A374,$AE:$AE,AF:AF)</f>
        <v>Pumps</v>
      </c>
      <c r="C374" t="str">
        <f t="shared" ref="C374:C382" si="142">LOOKUP($A374,$AE:$AE,AG:AG)</f>
        <v>25-06046-002</v>
      </c>
      <c r="D374" s="1">
        <f t="shared" ref="D374:D382" si="143">LOOKUP($A374,$AE:$AE,AH:AH)</f>
        <v>0.2</v>
      </c>
      <c r="E374" s="1">
        <f t="shared" ref="E374:E382" si="144">LOOKUP($A374,$AE:$AE,AI:AI)</f>
        <v>0.2</v>
      </c>
      <c r="F374" s="1">
        <f t="shared" ref="F374:F382" si="145">LOOKUP($A374,$AE:$AE,AJ:AJ)</f>
        <v>0.2</v>
      </c>
      <c r="G374" s="1">
        <f t="shared" ref="G374:G382" si="146">LOOKUP($A374,$AE:$AE,AK:AK)</f>
        <v>0.2</v>
      </c>
      <c r="H374" s="1">
        <f t="shared" ref="H374:H382" si="147">LOOKUP($A374,$AE:$AE,AL:AL)</f>
        <v>0.2</v>
      </c>
      <c r="I374" s="1">
        <f t="shared" ref="I374:I382" si="148">LOOKUP($A374,$AE:$AE,AM:AM)</f>
        <v>0.2</v>
      </c>
    </row>
    <row r="375" spans="1:9" x14ac:dyDescent="0.3">
      <c r="A375" s="62" t="s">
        <v>59</v>
      </c>
      <c r="B375" t="str">
        <f t="shared" si="141"/>
        <v>Collection System Inspection, Testing, and Cleaning - Part 1</v>
      </c>
      <c r="C375" t="str">
        <f t="shared" si="142"/>
        <v>25-06001-002</v>
      </c>
      <c r="D375" s="1">
        <f t="shared" si="143"/>
        <v>0.25</v>
      </c>
      <c r="E375" s="1">
        <f t="shared" si="144"/>
        <v>0</v>
      </c>
      <c r="F375" s="1">
        <f t="shared" si="145"/>
        <v>0</v>
      </c>
      <c r="G375" s="1">
        <f t="shared" si="146"/>
        <v>0</v>
      </c>
      <c r="H375" s="1">
        <f t="shared" si="147"/>
        <v>0</v>
      </c>
      <c r="I375" s="1">
        <f t="shared" si="148"/>
        <v>0.25</v>
      </c>
    </row>
    <row r="376" spans="1:9" x14ac:dyDescent="0.3">
      <c r="A376" s="62" t="s">
        <v>60</v>
      </c>
      <c r="B376" t="str">
        <f t="shared" si="141"/>
        <v>Collection System Inspection, Testing, and Cleaning - Part 2</v>
      </c>
      <c r="C376" t="str">
        <f t="shared" si="142"/>
        <v>25-06002-002</v>
      </c>
      <c r="D376" s="1">
        <f t="shared" si="143"/>
        <v>0.25</v>
      </c>
      <c r="E376" s="1">
        <f t="shared" si="144"/>
        <v>0</v>
      </c>
      <c r="F376" s="1">
        <f t="shared" si="145"/>
        <v>0</v>
      </c>
      <c r="G376" s="1">
        <f t="shared" si="146"/>
        <v>0</v>
      </c>
      <c r="H376" s="1">
        <f t="shared" si="147"/>
        <v>0</v>
      </c>
      <c r="I376" s="1">
        <f t="shared" si="148"/>
        <v>0.25</v>
      </c>
    </row>
    <row r="377" spans="1:9" x14ac:dyDescent="0.3">
      <c r="A377" s="62" t="s">
        <v>61</v>
      </c>
      <c r="B377" t="str">
        <f t="shared" si="141"/>
        <v>Lift Stations</v>
      </c>
      <c r="C377" t="str">
        <f t="shared" si="142"/>
        <v>25-06003-001</v>
      </c>
      <c r="D377" s="1">
        <f t="shared" si="143"/>
        <v>0.2</v>
      </c>
      <c r="E377" s="1">
        <f t="shared" si="144"/>
        <v>0</v>
      </c>
      <c r="F377" s="1">
        <f t="shared" si="145"/>
        <v>0.2</v>
      </c>
      <c r="G377" s="1">
        <f t="shared" si="146"/>
        <v>0.2</v>
      </c>
      <c r="H377" s="1">
        <f t="shared" si="147"/>
        <v>0</v>
      </c>
      <c r="I377" s="1">
        <f t="shared" si="148"/>
        <v>0.2</v>
      </c>
    </row>
    <row r="378" spans="1:9" x14ac:dyDescent="0.3">
      <c r="A378" s="62" t="s">
        <v>92</v>
      </c>
      <c r="B378" t="str">
        <f t="shared" si="141"/>
        <v>Water Sources Part 2</v>
      </c>
      <c r="C378" t="str">
        <f t="shared" si="142"/>
        <v>25-06036-001</v>
      </c>
      <c r="D378" s="1">
        <f t="shared" si="143"/>
        <v>0.1</v>
      </c>
      <c r="E378" s="1">
        <f t="shared" si="144"/>
        <v>0.1</v>
      </c>
      <c r="F378" s="1">
        <f t="shared" si="145"/>
        <v>0</v>
      </c>
      <c r="G378" s="1">
        <f t="shared" si="146"/>
        <v>0.1</v>
      </c>
      <c r="H378" s="1">
        <f t="shared" si="147"/>
        <v>0.1</v>
      </c>
      <c r="I378" s="1">
        <f t="shared" si="148"/>
        <v>0</v>
      </c>
    </row>
    <row r="379" spans="1:9" x14ac:dyDescent="0.3">
      <c r="A379" s="62" t="s">
        <v>94</v>
      </c>
      <c r="B379" t="str">
        <f t="shared" si="141"/>
        <v>Water Treatment Part 2 (Disinfection, Water Focus)</v>
      </c>
      <c r="C379" t="str">
        <f t="shared" si="142"/>
        <v>25-06038-001</v>
      </c>
      <c r="D379" s="1">
        <f t="shared" si="143"/>
        <v>0.25</v>
      </c>
      <c r="E379" s="1">
        <f t="shared" si="144"/>
        <v>0.25</v>
      </c>
      <c r="F379" s="1">
        <f t="shared" si="145"/>
        <v>0.25</v>
      </c>
      <c r="G379" s="1">
        <f t="shared" si="146"/>
        <v>0.25</v>
      </c>
      <c r="H379" s="1">
        <f t="shared" si="147"/>
        <v>0.25</v>
      </c>
      <c r="I379" s="1">
        <f t="shared" si="148"/>
        <v>0</v>
      </c>
    </row>
    <row r="380" spans="1:9" x14ac:dyDescent="0.3">
      <c r="A380" s="62" t="s">
        <v>95</v>
      </c>
      <c r="B380" t="str">
        <f t="shared" si="141"/>
        <v>Intro to Distribution Systems</v>
      </c>
      <c r="C380" t="str">
        <f t="shared" si="142"/>
        <v>25-06696-001</v>
      </c>
      <c r="D380" s="1">
        <f t="shared" si="143"/>
        <v>0.2</v>
      </c>
      <c r="E380" s="1">
        <f t="shared" si="144"/>
        <v>0.1</v>
      </c>
      <c r="F380" s="1">
        <f t="shared" si="145"/>
        <v>0.1</v>
      </c>
      <c r="G380" s="1">
        <f t="shared" si="146"/>
        <v>0.1</v>
      </c>
      <c r="H380" s="1">
        <f t="shared" si="147"/>
        <v>0.2</v>
      </c>
      <c r="I380" s="1">
        <f t="shared" si="148"/>
        <v>0.1</v>
      </c>
    </row>
    <row r="381" spans="1:9" x14ac:dyDescent="0.3">
      <c r="A381" s="62" t="s">
        <v>96</v>
      </c>
      <c r="B381" t="str">
        <f t="shared" si="141"/>
        <v>MRT Drinking Water Regulatory Course</v>
      </c>
      <c r="C381" t="str">
        <f t="shared" si="142"/>
        <v>25-06743-002</v>
      </c>
      <c r="D381" s="1">
        <f t="shared" si="143"/>
        <v>0.3</v>
      </c>
      <c r="E381" s="1">
        <f t="shared" si="144"/>
        <v>0.3</v>
      </c>
      <c r="F381" s="1">
        <f t="shared" si="145"/>
        <v>0</v>
      </c>
      <c r="G381" s="1">
        <f t="shared" si="146"/>
        <v>0</v>
      </c>
      <c r="H381" s="1">
        <f t="shared" si="147"/>
        <v>0.3</v>
      </c>
      <c r="I381" s="1">
        <f t="shared" si="148"/>
        <v>0</v>
      </c>
    </row>
    <row r="382" spans="1:9" x14ac:dyDescent="0.3">
      <c r="A382" s="62" t="s">
        <v>699</v>
      </c>
      <c r="B382" t="str">
        <f t="shared" si="141"/>
        <v>MRT for Wastewater Treatment and Collection Systems</v>
      </c>
      <c r="C382" t="str">
        <f t="shared" si="142"/>
        <v>25-06840-002</v>
      </c>
      <c r="D382" s="1">
        <f t="shared" si="143"/>
        <v>0.25</v>
      </c>
      <c r="E382" s="1">
        <f t="shared" si="144"/>
        <v>0</v>
      </c>
      <c r="F382" s="1">
        <f t="shared" si="145"/>
        <v>0.25</v>
      </c>
      <c r="G382" s="1">
        <f t="shared" si="146"/>
        <v>0.25</v>
      </c>
      <c r="H382" s="1">
        <f t="shared" si="147"/>
        <v>0</v>
      </c>
      <c r="I382" s="1">
        <f t="shared" si="148"/>
        <v>0.25</v>
      </c>
    </row>
    <row r="383" spans="1:9" x14ac:dyDescent="0.3">
      <c r="A383" t="s">
        <v>319</v>
      </c>
      <c r="D383" s="1">
        <f>SUM(Table39101218212631333536414243[Max])</f>
        <v>2</v>
      </c>
      <c r="E383" s="1">
        <f>SUM(Table39101218212631333536414243[W])</f>
        <v>0.95</v>
      </c>
      <c r="F383" s="1">
        <f>SUM(Table39101218212631333536414243[WW])</f>
        <v>1</v>
      </c>
      <c r="G383" s="1">
        <f>SUM(Table39101218212631333536414243[I])</f>
        <v>1.1000000000000001</v>
      </c>
      <c r="H383" s="1">
        <f>SUM(Table39101218212631333536414243[D])</f>
        <v>1.05</v>
      </c>
      <c r="I383" s="1">
        <f>SUM(Table39101218212631333536414243[C])</f>
        <v>1.25</v>
      </c>
    </row>
    <row r="385" spans="1:9" x14ac:dyDescent="0.3">
      <c r="A385" s="6" t="s">
        <v>2130</v>
      </c>
      <c r="I385" s="63">
        <f>(D400-0.55)*10*20*0.9+1</f>
        <v>334</v>
      </c>
    </row>
    <row r="386" spans="1:9" x14ac:dyDescent="0.3">
      <c r="A386" t="s">
        <v>1898</v>
      </c>
      <c r="B386" t="s">
        <v>279</v>
      </c>
      <c r="C386" t="s">
        <v>1900</v>
      </c>
      <c r="D386" s="1" t="s">
        <v>1187</v>
      </c>
      <c r="E386" s="1" t="s">
        <v>22</v>
      </c>
      <c r="F386" s="1" t="s">
        <v>23</v>
      </c>
      <c r="G386" s="1" t="s">
        <v>26</v>
      </c>
      <c r="H386" s="1" t="s">
        <v>25</v>
      </c>
      <c r="I386" s="1" t="s">
        <v>24</v>
      </c>
    </row>
    <row r="387" spans="1:9" x14ac:dyDescent="0.3">
      <c r="A387" s="62" t="s">
        <v>53</v>
      </c>
      <c r="B387" t="str">
        <f t="shared" ref="B387:B399" si="149">LOOKUP($A387,$AE:$AE,AF:AF)</f>
        <v>Pumps</v>
      </c>
      <c r="C387" t="str">
        <f t="shared" ref="C387:C399" si="150">LOOKUP($A387,$AE:$AE,AG:AG)</f>
        <v>25-06046-002</v>
      </c>
      <c r="D387" s="1">
        <f t="shared" ref="D387:D399" si="151">LOOKUP($A387,$AE:$AE,AH:AH)</f>
        <v>0.2</v>
      </c>
      <c r="E387" s="1">
        <f t="shared" ref="E387:E399" si="152">LOOKUP($A387,$AE:$AE,AI:AI)</f>
        <v>0.2</v>
      </c>
      <c r="F387" s="1">
        <f t="shared" ref="F387:F399" si="153">LOOKUP($A387,$AE:$AE,AJ:AJ)</f>
        <v>0.2</v>
      </c>
      <c r="G387" s="1">
        <f t="shared" ref="G387:G399" si="154">LOOKUP($A387,$AE:$AE,AK:AK)</f>
        <v>0.2</v>
      </c>
      <c r="H387" s="1">
        <f t="shared" ref="H387:H399" si="155">LOOKUP($A387,$AE:$AE,AL:AL)</f>
        <v>0.2</v>
      </c>
      <c r="I387" s="1">
        <f t="shared" ref="I387:I399" si="156">LOOKUP($A387,$AE:$AE,AM:AM)</f>
        <v>0.2</v>
      </c>
    </row>
    <row r="388" spans="1:9" x14ac:dyDescent="0.3">
      <c r="A388" s="62" t="s">
        <v>57</v>
      </c>
      <c r="B388" t="str">
        <f t="shared" si="149"/>
        <v>Corrosion Control</v>
      </c>
      <c r="C388" t="str">
        <f t="shared" si="150"/>
        <v>25-05992-001</v>
      </c>
      <c r="D388" s="1">
        <f t="shared" si="151"/>
        <v>0.25</v>
      </c>
      <c r="E388" s="1">
        <f t="shared" si="152"/>
        <v>0.25</v>
      </c>
      <c r="F388" s="1">
        <f t="shared" si="153"/>
        <v>0.25</v>
      </c>
      <c r="G388" s="1">
        <f t="shared" si="154"/>
        <v>0.25</v>
      </c>
      <c r="H388" s="1">
        <f t="shared" si="155"/>
        <v>0.25</v>
      </c>
      <c r="I388" s="1">
        <f t="shared" si="156"/>
        <v>0.25</v>
      </c>
    </row>
    <row r="389" spans="1:9" x14ac:dyDescent="0.3">
      <c r="A389" s="62" t="s">
        <v>58</v>
      </c>
      <c r="B389" t="str">
        <f t="shared" si="149"/>
        <v>Introduction to Collections Systems</v>
      </c>
      <c r="C389" t="str">
        <f t="shared" si="150"/>
        <v>25-06000-002</v>
      </c>
      <c r="D389" s="1">
        <f t="shared" si="151"/>
        <v>0.15</v>
      </c>
      <c r="E389" s="1">
        <f t="shared" si="152"/>
        <v>0</v>
      </c>
      <c r="F389" s="1">
        <f t="shared" si="153"/>
        <v>0</v>
      </c>
      <c r="G389" s="1">
        <f t="shared" si="154"/>
        <v>0</v>
      </c>
      <c r="H389" s="1">
        <f t="shared" si="155"/>
        <v>0</v>
      </c>
      <c r="I389" s="1">
        <f t="shared" si="156"/>
        <v>0.15</v>
      </c>
    </row>
    <row r="390" spans="1:9" x14ac:dyDescent="0.3">
      <c r="A390" s="62" t="s">
        <v>61</v>
      </c>
      <c r="B390" t="str">
        <f t="shared" si="149"/>
        <v>Lift Stations</v>
      </c>
      <c r="C390" t="str">
        <f t="shared" si="150"/>
        <v>25-06003-001</v>
      </c>
      <c r="D390" s="1">
        <f t="shared" si="151"/>
        <v>0.2</v>
      </c>
      <c r="E390" s="1">
        <f t="shared" si="152"/>
        <v>0</v>
      </c>
      <c r="F390" s="1">
        <f t="shared" si="153"/>
        <v>0.2</v>
      </c>
      <c r="G390" s="1">
        <f t="shared" si="154"/>
        <v>0.2</v>
      </c>
      <c r="H390" s="1">
        <f t="shared" si="155"/>
        <v>0</v>
      </c>
      <c r="I390" s="1">
        <f t="shared" si="156"/>
        <v>0.2</v>
      </c>
    </row>
    <row r="391" spans="1:9" x14ac:dyDescent="0.3">
      <c r="A391" s="62" t="str">
        <f>AE54</f>
        <v>WATER-009</v>
      </c>
      <c r="B391" t="str">
        <f t="shared" si="149"/>
        <v>Water Storage Tanks Part 1 - Components</v>
      </c>
      <c r="C391" t="str">
        <f t="shared" si="150"/>
        <v>25-10976-001</v>
      </c>
      <c r="D391" s="1">
        <f t="shared" si="151"/>
        <v>0.1</v>
      </c>
      <c r="E391" s="1">
        <f t="shared" si="152"/>
        <v>0.1</v>
      </c>
      <c r="F391" s="1">
        <f t="shared" si="153"/>
        <v>0.1</v>
      </c>
      <c r="G391" s="1">
        <f t="shared" si="154"/>
        <v>0.1</v>
      </c>
      <c r="H391" s="1">
        <f t="shared" si="155"/>
        <v>0.1</v>
      </c>
      <c r="I391" s="1">
        <f t="shared" si="156"/>
        <v>0</v>
      </c>
    </row>
    <row r="392" spans="1:9" x14ac:dyDescent="0.3">
      <c r="A392" s="62" t="str">
        <f>AE55</f>
        <v>WATER-010</v>
      </c>
      <c r="B392" t="str">
        <f t="shared" si="149"/>
        <v>Water Storage Tanks Part 2 - Water Age and Quality</v>
      </c>
      <c r="C392" t="str">
        <f t="shared" si="150"/>
        <v>25-10977-001</v>
      </c>
      <c r="D392" s="1">
        <f t="shared" si="151"/>
        <v>0.1</v>
      </c>
      <c r="E392" s="1">
        <f t="shared" si="152"/>
        <v>0.1</v>
      </c>
      <c r="F392" s="1">
        <f t="shared" si="153"/>
        <v>0.1</v>
      </c>
      <c r="G392" s="1">
        <f t="shared" si="154"/>
        <v>0.1</v>
      </c>
      <c r="H392" s="1">
        <f t="shared" si="155"/>
        <v>0.1</v>
      </c>
      <c r="I392" s="1">
        <f t="shared" si="156"/>
        <v>0</v>
      </c>
    </row>
    <row r="393" spans="1:9" x14ac:dyDescent="0.3">
      <c r="A393" s="62" t="s">
        <v>63</v>
      </c>
      <c r="B393" t="str">
        <f t="shared" si="149"/>
        <v>Trenching and Shoring</v>
      </c>
      <c r="C393" t="str">
        <f t="shared" si="150"/>
        <v>25-05998-001</v>
      </c>
      <c r="D393" s="1">
        <f t="shared" si="151"/>
        <v>0.25</v>
      </c>
      <c r="E393" s="1">
        <f t="shared" si="152"/>
        <v>0</v>
      </c>
      <c r="F393" s="1">
        <f t="shared" si="153"/>
        <v>0</v>
      </c>
      <c r="G393" s="1">
        <f t="shared" si="154"/>
        <v>0</v>
      </c>
      <c r="H393" s="1">
        <f t="shared" si="155"/>
        <v>0.25</v>
      </c>
      <c r="I393" s="1">
        <f t="shared" si="156"/>
        <v>0.25</v>
      </c>
    </row>
    <row r="394" spans="1:9" x14ac:dyDescent="0.3">
      <c r="A394" s="62" t="s">
        <v>1411</v>
      </c>
      <c r="B394" t="str">
        <f t="shared" si="149"/>
        <v>Demolition Saws</v>
      </c>
      <c r="C394" t="str">
        <f t="shared" si="150"/>
        <v>25-09506-001</v>
      </c>
      <c r="D394" s="1">
        <f t="shared" si="151"/>
        <v>0.05</v>
      </c>
      <c r="E394" s="1">
        <f t="shared" si="152"/>
        <v>0.05</v>
      </c>
      <c r="F394" s="1">
        <f t="shared" si="153"/>
        <v>0.05</v>
      </c>
      <c r="G394" s="1">
        <f t="shared" si="154"/>
        <v>0.05</v>
      </c>
      <c r="H394" s="1">
        <f t="shared" si="155"/>
        <v>0.05</v>
      </c>
      <c r="I394" s="1">
        <f t="shared" si="156"/>
        <v>0.05</v>
      </c>
    </row>
    <row r="395" spans="1:9" x14ac:dyDescent="0.3">
      <c r="A395" s="62" t="s">
        <v>92</v>
      </c>
      <c r="B395" t="str">
        <f t="shared" si="149"/>
        <v>Water Sources Part 2</v>
      </c>
      <c r="C395" t="str">
        <f t="shared" si="150"/>
        <v>25-06036-001</v>
      </c>
      <c r="D395" s="1">
        <f t="shared" si="151"/>
        <v>0.1</v>
      </c>
      <c r="E395" s="1">
        <f t="shared" si="152"/>
        <v>0.1</v>
      </c>
      <c r="F395" s="1">
        <f t="shared" si="153"/>
        <v>0</v>
      </c>
      <c r="G395" s="1">
        <f t="shared" si="154"/>
        <v>0.1</v>
      </c>
      <c r="H395" s="1">
        <f t="shared" si="155"/>
        <v>0.1</v>
      </c>
      <c r="I395" s="1">
        <f t="shared" si="156"/>
        <v>0</v>
      </c>
    </row>
    <row r="396" spans="1:9" x14ac:dyDescent="0.3">
      <c r="A396" s="62" t="s">
        <v>94</v>
      </c>
      <c r="B396" t="str">
        <f t="shared" si="149"/>
        <v>Water Treatment Part 2 (Disinfection, Water Focus)</v>
      </c>
      <c r="C396" t="str">
        <f t="shared" si="150"/>
        <v>25-06038-001</v>
      </c>
      <c r="D396" s="1">
        <f t="shared" si="151"/>
        <v>0.25</v>
      </c>
      <c r="E396" s="1">
        <f t="shared" si="152"/>
        <v>0.25</v>
      </c>
      <c r="F396" s="1">
        <f t="shared" si="153"/>
        <v>0.25</v>
      </c>
      <c r="G396" s="1">
        <f t="shared" si="154"/>
        <v>0.25</v>
      </c>
      <c r="H396" s="1">
        <f t="shared" si="155"/>
        <v>0.25</v>
      </c>
      <c r="I396" s="1">
        <f t="shared" si="156"/>
        <v>0</v>
      </c>
    </row>
    <row r="397" spans="1:9" x14ac:dyDescent="0.3">
      <c r="A397" s="62" t="s">
        <v>95</v>
      </c>
      <c r="B397" t="str">
        <f t="shared" si="149"/>
        <v>Intro to Distribution Systems</v>
      </c>
      <c r="C397" t="str">
        <f t="shared" si="150"/>
        <v>25-06696-001</v>
      </c>
      <c r="D397" s="1">
        <f t="shared" si="151"/>
        <v>0.2</v>
      </c>
      <c r="E397" s="1">
        <f t="shared" si="152"/>
        <v>0.1</v>
      </c>
      <c r="F397" s="1">
        <f t="shared" si="153"/>
        <v>0.1</v>
      </c>
      <c r="G397" s="1">
        <f t="shared" si="154"/>
        <v>0.1</v>
      </c>
      <c r="H397" s="1">
        <f t="shared" si="155"/>
        <v>0.2</v>
      </c>
      <c r="I397" s="1">
        <f t="shared" si="156"/>
        <v>0.1</v>
      </c>
    </row>
    <row r="398" spans="1:9" x14ac:dyDescent="0.3">
      <c r="A398" s="62" t="s">
        <v>96</v>
      </c>
      <c r="B398" t="str">
        <f t="shared" si="149"/>
        <v>MRT Drinking Water Regulatory Course</v>
      </c>
      <c r="C398" t="str">
        <f t="shared" si="150"/>
        <v>25-06743-002</v>
      </c>
      <c r="D398" s="1">
        <f t="shared" si="151"/>
        <v>0.3</v>
      </c>
      <c r="E398" s="1">
        <f t="shared" si="152"/>
        <v>0.3</v>
      </c>
      <c r="F398" s="1">
        <f t="shared" si="153"/>
        <v>0</v>
      </c>
      <c r="G398" s="1">
        <f t="shared" si="154"/>
        <v>0</v>
      </c>
      <c r="H398" s="1">
        <f t="shared" si="155"/>
        <v>0.3</v>
      </c>
      <c r="I398" s="1">
        <f t="shared" si="156"/>
        <v>0</v>
      </c>
    </row>
    <row r="399" spans="1:9" x14ac:dyDescent="0.3">
      <c r="A399" s="62" t="s">
        <v>699</v>
      </c>
      <c r="B399" t="str">
        <f t="shared" si="149"/>
        <v>MRT for Wastewater Treatment and Collection Systems</v>
      </c>
      <c r="C399" t="str">
        <f t="shared" si="150"/>
        <v>25-06840-002</v>
      </c>
      <c r="D399" s="1">
        <f t="shared" si="151"/>
        <v>0.25</v>
      </c>
      <c r="E399" s="1">
        <f t="shared" si="152"/>
        <v>0</v>
      </c>
      <c r="F399" s="1">
        <f t="shared" si="153"/>
        <v>0.25</v>
      </c>
      <c r="G399" s="1">
        <f t="shared" si="154"/>
        <v>0.25</v>
      </c>
      <c r="H399" s="1">
        <f t="shared" si="155"/>
        <v>0</v>
      </c>
      <c r="I399" s="1">
        <f t="shared" si="156"/>
        <v>0.25</v>
      </c>
    </row>
    <row r="400" spans="1:9" x14ac:dyDescent="0.3">
      <c r="A400" t="s">
        <v>319</v>
      </c>
      <c r="D400" s="1">
        <f>SUM(Table39101218212631333536414245[Max])</f>
        <v>2.4</v>
      </c>
      <c r="E400" s="1">
        <f>SUM(Table39101218212631333536414245[W])</f>
        <v>1.4500000000000002</v>
      </c>
      <c r="F400" s="1">
        <f>SUM(Table39101218212631333536414245[WW])</f>
        <v>1.5</v>
      </c>
      <c r="G400" s="1">
        <f>SUM(Table39101218212631333536414245[I])</f>
        <v>1.6</v>
      </c>
      <c r="H400" s="1">
        <f>SUM(Table39101218212631333536414245[D])</f>
        <v>1.8</v>
      </c>
      <c r="I400" s="1">
        <f>SUM(Table39101218212631333536414245[C])</f>
        <v>1.4500000000000002</v>
      </c>
    </row>
    <row r="402" spans="1:9" x14ac:dyDescent="0.3">
      <c r="A402" s="6" t="s">
        <v>2131</v>
      </c>
      <c r="I402" s="63">
        <f>(D421-0.55)*10*20*0.9+1</f>
        <v>442</v>
      </c>
    </row>
    <row r="403" spans="1:9" x14ac:dyDescent="0.3">
      <c r="A403" t="s">
        <v>1898</v>
      </c>
      <c r="B403" t="s">
        <v>279</v>
      </c>
      <c r="C403" t="s">
        <v>1900</v>
      </c>
      <c r="D403" s="1" t="s">
        <v>1187</v>
      </c>
      <c r="E403" s="1" t="s">
        <v>22</v>
      </c>
      <c r="F403" s="1" t="s">
        <v>23</v>
      </c>
      <c r="G403" s="1" t="s">
        <v>26</v>
      </c>
      <c r="H403" s="1" t="s">
        <v>25</v>
      </c>
      <c r="I403" s="1" t="s">
        <v>24</v>
      </c>
    </row>
    <row r="404" spans="1:9" x14ac:dyDescent="0.3">
      <c r="A404" s="62" t="s">
        <v>53</v>
      </c>
      <c r="B404" t="str">
        <f t="shared" ref="B404:B420" si="157">LOOKUP($A404,$AE:$AE,AF:AF)</f>
        <v>Pumps</v>
      </c>
      <c r="C404" t="str">
        <f t="shared" ref="C404:C420" si="158">LOOKUP($A404,$AE:$AE,AG:AG)</f>
        <v>25-06046-002</v>
      </c>
      <c r="D404" s="1">
        <f t="shared" ref="D404:D420" si="159">LOOKUP($A404,$AE:$AE,AH:AH)</f>
        <v>0.2</v>
      </c>
      <c r="E404" s="1">
        <f t="shared" ref="E404:E420" si="160">LOOKUP($A404,$AE:$AE,AI:AI)</f>
        <v>0.2</v>
      </c>
      <c r="F404" s="1">
        <f t="shared" ref="F404:F420" si="161">LOOKUP($A404,$AE:$AE,AJ:AJ)</f>
        <v>0.2</v>
      </c>
      <c r="G404" s="1">
        <f t="shared" ref="G404:G420" si="162">LOOKUP($A404,$AE:$AE,AK:AK)</f>
        <v>0.2</v>
      </c>
      <c r="H404" s="1">
        <f t="shared" ref="H404:H420" si="163">LOOKUP($A404,$AE:$AE,AL:AL)</f>
        <v>0.2</v>
      </c>
      <c r="I404" s="1">
        <f t="shared" ref="I404:I420" si="164">LOOKUP($A404,$AE:$AE,AM:AM)</f>
        <v>0.2</v>
      </c>
    </row>
    <row r="405" spans="1:9" x14ac:dyDescent="0.3">
      <c r="A405" s="62" t="s">
        <v>54</v>
      </c>
      <c r="B405" t="str">
        <f t="shared" si="157"/>
        <v>Hydraulics Basics</v>
      </c>
      <c r="C405" t="str">
        <f t="shared" si="158"/>
        <v>25-05990-001</v>
      </c>
      <c r="D405" s="1">
        <f t="shared" si="159"/>
        <v>0.15</v>
      </c>
      <c r="E405" s="1">
        <f t="shared" si="160"/>
        <v>0.15</v>
      </c>
      <c r="F405" s="1">
        <f t="shared" si="161"/>
        <v>0.15</v>
      </c>
      <c r="G405" s="1">
        <f t="shared" si="162"/>
        <v>0.15</v>
      </c>
      <c r="H405" s="1">
        <f t="shared" si="163"/>
        <v>0.15</v>
      </c>
      <c r="I405" s="1">
        <f t="shared" si="164"/>
        <v>0.15</v>
      </c>
    </row>
    <row r="406" spans="1:9" x14ac:dyDescent="0.3">
      <c r="A406" s="62" t="s">
        <v>58</v>
      </c>
      <c r="B406" t="str">
        <f t="shared" si="157"/>
        <v>Introduction to Collections Systems</v>
      </c>
      <c r="C406" t="str">
        <f t="shared" si="158"/>
        <v>25-06000-002</v>
      </c>
      <c r="D406" s="1">
        <f t="shared" si="159"/>
        <v>0.15</v>
      </c>
      <c r="E406" s="1">
        <f t="shared" si="160"/>
        <v>0</v>
      </c>
      <c r="F406" s="1">
        <f t="shared" si="161"/>
        <v>0</v>
      </c>
      <c r="G406" s="1">
        <f t="shared" si="162"/>
        <v>0</v>
      </c>
      <c r="H406" s="1">
        <f t="shared" si="163"/>
        <v>0</v>
      </c>
      <c r="I406" s="1">
        <f t="shared" si="164"/>
        <v>0.15</v>
      </c>
    </row>
    <row r="407" spans="1:9" x14ac:dyDescent="0.3">
      <c r="A407" s="62" t="s">
        <v>59</v>
      </c>
      <c r="B407" t="str">
        <f t="shared" si="157"/>
        <v>Collection System Inspection, Testing, and Cleaning - Part 1</v>
      </c>
      <c r="C407" t="str">
        <f t="shared" si="158"/>
        <v>25-06001-002</v>
      </c>
      <c r="D407" s="1">
        <f t="shared" si="159"/>
        <v>0.25</v>
      </c>
      <c r="E407" s="1">
        <f t="shared" si="160"/>
        <v>0</v>
      </c>
      <c r="F407" s="1">
        <f t="shared" si="161"/>
        <v>0</v>
      </c>
      <c r="G407" s="1">
        <f t="shared" si="162"/>
        <v>0</v>
      </c>
      <c r="H407" s="1">
        <f t="shared" si="163"/>
        <v>0</v>
      </c>
      <c r="I407" s="1">
        <f t="shared" si="164"/>
        <v>0.25</v>
      </c>
    </row>
    <row r="408" spans="1:9" x14ac:dyDescent="0.3">
      <c r="A408" s="62" t="s">
        <v>60</v>
      </c>
      <c r="B408" t="str">
        <f t="shared" si="157"/>
        <v>Collection System Inspection, Testing, and Cleaning - Part 2</v>
      </c>
      <c r="C408" t="str">
        <f t="shared" si="158"/>
        <v>25-06002-002</v>
      </c>
      <c r="D408" s="1">
        <f t="shared" si="159"/>
        <v>0.25</v>
      </c>
      <c r="E408" s="1">
        <f t="shared" si="160"/>
        <v>0</v>
      </c>
      <c r="F408" s="1">
        <f t="shared" si="161"/>
        <v>0</v>
      </c>
      <c r="G408" s="1">
        <f t="shared" si="162"/>
        <v>0</v>
      </c>
      <c r="H408" s="1">
        <f t="shared" si="163"/>
        <v>0</v>
      </c>
      <c r="I408" s="1">
        <f t="shared" si="164"/>
        <v>0.25</v>
      </c>
    </row>
    <row r="409" spans="1:9" x14ac:dyDescent="0.3">
      <c r="A409" s="62" t="s">
        <v>61</v>
      </c>
      <c r="B409" t="str">
        <f t="shared" si="157"/>
        <v>Lift Stations</v>
      </c>
      <c r="C409" t="str">
        <f t="shared" si="158"/>
        <v>25-06003-001</v>
      </c>
      <c r="D409" s="1">
        <f t="shared" si="159"/>
        <v>0.2</v>
      </c>
      <c r="E409" s="1">
        <f t="shared" si="160"/>
        <v>0</v>
      </c>
      <c r="F409" s="1">
        <f t="shared" si="161"/>
        <v>0.2</v>
      </c>
      <c r="G409" s="1">
        <f t="shared" si="162"/>
        <v>0.2</v>
      </c>
      <c r="H409" s="1">
        <f t="shared" si="163"/>
        <v>0</v>
      </c>
      <c r="I409" s="1">
        <f t="shared" si="164"/>
        <v>0.2</v>
      </c>
    </row>
    <row r="410" spans="1:9" x14ac:dyDescent="0.3">
      <c r="A410" s="62" t="str">
        <f>AE54</f>
        <v>WATER-009</v>
      </c>
      <c r="B410" t="str">
        <f t="shared" si="157"/>
        <v>Water Storage Tanks Part 1 - Components</v>
      </c>
      <c r="C410" t="str">
        <f t="shared" si="158"/>
        <v>25-10976-001</v>
      </c>
      <c r="D410" s="1">
        <f t="shared" si="159"/>
        <v>0.1</v>
      </c>
      <c r="E410" s="1">
        <f t="shared" si="160"/>
        <v>0.1</v>
      </c>
      <c r="F410" s="1">
        <f t="shared" si="161"/>
        <v>0.1</v>
      </c>
      <c r="G410" s="1">
        <f t="shared" si="162"/>
        <v>0.1</v>
      </c>
      <c r="H410" s="1">
        <f t="shared" si="163"/>
        <v>0.1</v>
      </c>
      <c r="I410" s="1">
        <f t="shared" si="164"/>
        <v>0</v>
      </c>
    </row>
    <row r="411" spans="1:9" x14ac:dyDescent="0.3">
      <c r="A411" s="62" t="str">
        <f t="shared" ref="A411:A412" si="165">AE55</f>
        <v>WATER-010</v>
      </c>
      <c r="B411" t="str">
        <f t="shared" si="157"/>
        <v>Water Storage Tanks Part 2 - Water Age and Quality</v>
      </c>
      <c r="C411" t="str">
        <f t="shared" si="158"/>
        <v>25-10977-001</v>
      </c>
      <c r="D411" s="1">
        <f t="shared" si="159"/>
        <v>0.1</v>
      </c>
      <c r="E411" s="1">
        <f t="shared" si="160"/>
        <v>0.1</v>
      </c>
      <c r="F411" s="1">
        <f t="shared" si="161"/>
        <v>0.1</v>
      </c>
      <c r="G411" s="1">
        <f t="shared" si="162"/>
        <v>0.1</v>
      </c>
      <c r="H411" s="1">
        <f t="shared" si="163"/>
        <v>0.1</v>
      </c>
      <c r="I411" s="1">
        <f t="shared" si="164"/>
        <v>0</v>
      </c>
    </row>
    <row r="412" spans="1:9" x14ac:dyDescent="0.3">
      <c r="A412" s="62" t="str">
        <f t="shared" si="165"/>
        <v>WATER-011</v>
      </c>
      <c r="B412" t="str">
        <f t="shared" si="157"/>
        <v>Water Storage Tanks Part 3 - Inspections</v>
      </c>
      <c r="C412" t="str">
        <f t="shared" si="158"/>
        <v>25-10978-001</v>
      </c>
      <c r="D412" s="1">
        <f t="shared" si="159"/>
        <v>0.1</v>
      </c>
      <c r="E412" s="1">
        <f t="shared" si="160"/>
        <v>0.1</v>
      </c>
      <c r="F412" s="1">
        <f t="shared" si="161"/>
        <v>0.1</v>
      </c>
      <c r="G412" s="1">
        <f t="shared" si="162"/>
        <v>0.1</v>
      </c>
      <c r="H412" s="1">
        <f t="shared" si="163"/>
        <v>0.1</v>
      </c>
      <c r="I412" s="1">
        <f t="shared" si="164"/>
        <v>0</v>
      </c>
    </row>
    <row r="413" spans="1:9" x14ac:dyDescent="0.3">
      <c r="A413" s="62" t="s">
        <v>169</v>
      </c>
      <c r="B413" t="str">
        <f t="shared" si="157"/>
        <v>Manholes</v>
      </c>
      <c r="C413" t="str">
        <f t="shared" si="158"/>
        <v>25-06005-001</v>
      </c>
      <c r="D413" s="1">
        <f t="shared" si="159"/>
        <v>0.1</v>
      </c>
      <c r="E413" s="1">
        <f t="shared" si="160"/>
        <v>0</v>
      </c>
      <c r="F413" s="1">
        <f t="shared" si="161"/>
        <v>0</v>
      </c>
      <c r="G413" s="1">
        <f t="shared" si="162"/>
        <v>0</v>
      </c>
      <c r="H413" s="1">
        <f t="shared" si="163"/>
        <v>0</v>
      </c>
      <c r="I413" s="1">
        <f t="shared" si="164"/>
        <v>0.1</v>
      </c>
    </row>
    <row r="414" spans="1:9" x14ac:dyDescent="0.3">
      <c r="A414" s="62" t="s">
        <v>63</v>
      </c>
      <c r="B414" t="str">
        <f t="shared" si="157"/>
        <v>Trenching and Shoring</v>
      </c>
      <c r="C414" t="str">
        <f t="shared" si="158"/>
        <v>25-05998-001</v>
      </c>
      <c r="D414" s="1">
        <f t="shared" si="159"/>
        <v>0.25</v>
      </c>
      <c r="E414" s="1">
        <f t="shared" si="160"/>
        <v>0</v>
      </c>
      <c r="F414" s="1">
        <f t="shared" si="161"/>
        <v>0</v>
      </c>
      <c r="G414" s="1">
        <f t="shared" si="162"/>
        <v>0</v>
      </c>
      <c r="H414" s="1">
        <f t="shared" si="163"/>
        <v>0.25</v>
      </c>
      <c r="I414" s="1">
        <f t="shared" si="164"/>
        <v>0.25</v>
      </c>
    </row>
    <row r="415" spans="1:9" x14ac:dyDescent="0.3">
      <c r="A415" s="62" t="s">
        <v>1411</v>
      </c>
      <c r="B415" t="str">
        <f t="shared" si="157"/>
        <v>Demolition Saws</v>
      </c>
      <c r="C415" t="str">
        <f t="shared" si="158"/>
        <v>25-09506-001</v>
      </c>
      <c r="D415" s="1">
        <f t="shared" si="159"/>
        <v>0.05</v>
      </c>
      <c r="E415" s="1">
        <f t="shared" si="160"/>
        <v>0.05</v>
      </c>
      <c r="F415" s="1">
        <f t="shared" si="161"/>
        <v>0.05</v>
      </c>
      <c r="G415" s="1">
        <f t="shared" si="162"/>
        <v>0.05</v>
      </c>
      <c r="H415" s="1">
        <f t="shared" si="163"/>
        <v>0.05</v>
      </c>
      <c r="I415" s="1">
        <f t="shared" si="164"/>
        <v>0.05</v>
      </c>
    </row>
    <row r="416" spans="1:9" x14ac:dyDescent="0.3">
      <c r="A416" s="62" t="s">
        <v>92</v>
      </c>
      <c r="B416" t="str">
        <f t="shared" si="157"/>
        <v>Water Sources Part 2</v>
      </c>
      <c r="C416" t="str">
        <f t="shared" si="158"/>
        <v>25-06036-001</v>
      </c>
      <c r="D416" s="1">
        <f t="shared" si="159"/>
        <v>0.1</v>
      </c>
      <c r="E416" s="1">
        <f t="shared" si="160"/>
        <v>0.1</v>
      </c>
      <c r="F416" s="1">
        <f t="shared" si="161"/>
        <v>0</v>
      </c>
      <c r="G416" s="1">
        <f t="shared" si="162"/>
        <v>0.1</v>
      </c>
      <c r="H416" s="1">
        <f t="shared" si="163"/>
        <v>0.1</v>
      </c>
      <c r="I416" s="1">
        <f t="shared" si="164"/>
        <v>0</v>
      </c>
    </row>
    <row r="417" spans="1:9" x14ac:dyDescent="0.3">
      <c r="A417" s="62" t="s">
        <v>94</v>
      </c>
      <c r="B417" t="str">
        <f t="shared" si="157"/>
        <v>Water Treatment Part 2 (Disinfection, Water Focus)</v>
      </c>
      <c r="C417" t="str">
        <f t="shared" si="158"/>
        <v>25-06038-001</v>
      </c>
      <c r="D417" s="1">
        <f t="shared" si="159"/>
        <v>0.25</v>
      </c>
      <c r="E417" s="1">
        <f t="shared" si="160"/>
        <v>0.25</v>
      </c>
      <c r="F417" s="1">
        <f t="shared" si="161"/>
        <v>0.25</v>
      </c>
      <c r="G417" s="1">
        <f t="shared" si="162"/>
        <v>0.25</v>
      </c>
      <c r="H417" s="1">
        <f t="shared" si="163"/>
        <v>0.25</v>
      </c>
      <c r="I417" s="1">
        <f t="shared" si="164"/>
        <v>0</v>
      </c>
    </row>
    <row r="418" spans="1:9" x14ac:dyDescent="0.3">
      <c r="A418" s="62" t="s">
        <v>95</v>
      </c>
      <c r="B418" t="str">
        <f t="shared" si="157"/>
        <v>Intro to Distribution Systems</v>
      </c>
      <c r="C418" t="str">
        <f t="shared" si="158"/>
        <v>25-06696-001</v>
      </c>
      <c r="D418" s="1">
        <f t="shared" si="159"/>
        <v>0.2</v>
      </c>
      <c r="E418" s="1">
        <f t="shared" si="160"/>
        <v>0.1</v>
      </c>
      <c r="F418" s="1">
        <f t="shared" si="161"/>
        <v>0.1</v>
      </c>
      <c r="G418" s="1">
        <f t="shared" si="162"/>
        <v>0.1</v>
      </c>
      <c r="H418" s="1">
        <f t="shared" si="163"/>
        <v>0.2</v>
      </c>
      <c r="I418" s="1">
        <f t="shared" si="164"/>
        <v>0.1</v>
      </c>
    </row>
    <row r="419" spans="1:9" x14ac:dyDescent="0.3">
      <c r="A419" s="62" t="s">
        <v>96</v>
      </c>
      <c r="B419" t="str">
        <f t="shared" si="157"/>
        <v>MRT Drinking Water Regulatory Course</v>
      </c>
      <c r="C419" t="str">
        <f t="shared" si="158"/>
        <v>25-06743-002</v>
      </c>
      <c r="D419" s="1">
        <f t="shared" si="159"/>
        <v>0.3</v>
      </c>
      <c r="E419" s="1">
        <f t="shared" si="160"/>
        <v>0.3</v>
      </c>
      <c r="F419" s="1">
        <f t="shared" si="161"/>
        <v>0</v>
      </c>
      <c r="G419" s="1">
        <f t="shared" si="162"/>
        <v>0</v>
      </c>
      <c r="H419" s="1">
        <f t="shared" si="163"/>
        <v>0.3</v>
      </c>
      <c r="I419" s="1">
        <f t="shared" si="164"/>
        <v>0</v>
      </c>
    </row>
    <row r="420" spans="1:9" x14ac:dyDescent="0.3">
      <c r="A420" s="62" t="s">
        <v>699</v>
      </c>
      <c r="B420" t="str">
        <f t="shared" si="157"/>
        <v>MRT for Wastewater Treatment and Collection Systems</v>
      </c>
      <c r="C420" t="str">
        <f t="shared" si="158"/>
        <v>25-06840-002</v>
      </c>
      <c r="D420" s="1">
        <f t="shared" si="159"/>
        <v>0.25</v>
      </c>
      <c r="E420" s="1">
        <f t="shared" si="160"/>
        <v>0</v>
      </c>
      <c r="F420" s="1">
        <f t="shared" si="161"/>
        <v>0.25</v>
      </c>
      <c r="G420" s="1">
        <f t="shared" si="162"/>
        <v>0.25</v>
      </c>
      <c r="H420" s="1">
        <f t="shared" si="163"/>
        <v>0</v>
      </c>
      <c r="I420" s="1">
        <f t="shared" si="164"/>
        <v>0.25</v>
      </c>
    </row>
    <row r="421" spans="1:9" x14ac:dyDescent="0.3">
      <c r="A421" t="s">
        <v>319</v>
      </c>
      <c r="D421" s="1">
        <f>SUM(Table39101218212631333536414246[Max])</f>
        <v>3.0000000000000004</v>
      </c>
      <c r="E421" s="1">
        <f>SUM(Table39101218212631333536414246[W])</f>
        <v>1.45</v>
      </c>
      <c r="F421" s="1">
        <f>SUM(Table39101218212631333536414246[WW])</f>
        <v>1.5</v>
      </c>
      <c r="G421" s="1">
        <f>SUM(Table39101218212631333536414246[I])</f>
        <v>1.6</v>
      </c>
      <c r="H421" s="1">
        <f>SUM(Table39101218212631333536414246[D])</f>
        <v>1.8</v>
      </c>
      <c r="I421" s="1">
        <f>SUM(Table39101218212631333536414246[C])</f>
        <v>1.9500000000000002</v>
      </c>
    </row>
  </sheetData>
  <sortState xmlns:xlrd2="http://schemas.microsoft.com/office/spreadsheetml/2017/richdata2" ref="R363:S378">
    <sortCondition ref="R363:R378"/>
  </sortState>
  <phoneticPr fontId="15" type="noConversion"/>
  <conditionalFormatting sqref="AN1:AN1048576">
    <cfRule type="cellIs" dxfId="0" priority="1" operator="equal">
      <formula>6</formula>
    </cfRule>
  </conditionalFormatting>
  <pageMargins left="0.25" right="0.25" top="0.75" bottom="0.75" header="0.3" footer="0.3"/>
  <pageSetup orientation="landscape" horizontalDpi="4294967293" r:id="rId1"/>
  <headerFooter>
    <oddHeader>&amp;L2025 Course Bundles&amp;RIndigo Water Group</oddHeader>
    <oddFooter>&amp;LWARNING: Each course may be completed multiple times but TUs or CEUs will only be issued the first time a course is completed per CDPHE policy.</oddFooter>
  </headerFooter>
  <rowBreaks count="13" manualBreakCount="13">
    <brk id="27" max="8" man="1"/>
    <brk id="52" max="8" man="1"/>
    <brk id="78" max="8" man="1"/>
    <brk id="112" max="8" man="1"/>
    <brk id="134" max="8" man="1"/>
    <brk id="160" max="8" man="1"/>
    <brk id="190" max="8" man="1"/>
    <brk id="221" max="8" man="1"/>
    <brk id="274" max="8" man="1"/>
    <brk id="306" max="8" man="1"/>
    <brk id="339" max="8" man="1"/>
    <brk id="371" max="8" man="1"/>
    <brk id="401" max="8" man="1"/>
  </rowBreaks>
  <tableParts count="3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42"/>
  <sheetViews>
    <sheetView workbookViewId="0"/>
  </sheetViews>
  <sheetFormatPr defaultColWidth="9.109375" defaultRowHeight="15" x14ac:dyDescent="0.25"/>
  <cols>
    <col min="1" max="1" width="22.109375" style="17" customWidth="1"/>
    <col min="2" max="2" width="60" style="17" customWidth="1"/>
    <col min="3" max="3" width="27.6640625" style="17" customWidth="1"/>
    <col min="4" max="4" width="48.33203125" style="17" hidden="1" customWidth="1"/>
    <col min="5" max="5" width="12.5546875" style="17" customWidth="1"/>
    <col min="6" max="10" width="14.33203125" style="17" customWidth="1"/>
    <col min="11" max="16384" width="9.109375" style="17"/>
  </cols>
  <sheetData>
    <row r="1" spans="1:10" ht="21" x14ac:dyDescent="0.4">
      <c r="A1" s="8" t="s">
        <v>278</v>
      </c>
    </row>
    <row r="3" spans="1:10" ht="15.6" x14ac:dyDescent="0.3">
      <c r="A3" s="4" t="s">
        <v>286</v>
      </c>
      <c r="B3" s="4" t="s">
        <v>279</v>
      </c>
      <c r="C3" s="18" t="s">
        <v>280</v>
      </c>
      <c r="D3" s="18" t="s">
        <v>281</v>
      </c>
      <c r="E3" s="18" t="s">
        <v>282</v>
      </c>
      <c r="F3" s="18" t="s">
        <v>22</v>
      </c>
      <c r="G3" s="18" t="s">
        <v>23</v>
      </c>
      <c r="H3" s="18" t="s">
        <v>26</v>
      </c>
      <c r="I3" s="18" t="s">
        <v>25</v>
      </c>
      <c r="J3" s="18" t="s">
        <v>24</v>
      </c>
    </row>
    <row r="4" spans="1:10" x14ac:dyDescent="0.25">
      <c r="A4" s="17" t="s">
        <v>53</v>
      </c>
      <c r="B4" s="17" t="str">
        <f>LOOKUP($A4,'Learning Paths'!$AE:$AE,'Learning Paths'!AF:AF)</f>
        <v>Pumps</v>
      </c>
      <c r="C4" s="19" t="str">
        <f>LOOKUP($A4,'Learning Paths'!$AE:$AE,'Learning Paths'!AG:AG)</f>
        <v>25-06046-002</v>
      </c>
      <c r="D4" s="19">
        <f>LOOKUP($A4,'Learning Paths'!$AE:$AE,'Learning Paths'!AH:AH)</f>
        <v>0.2</v>
      </c>
      <c r="E4" s="19">
        <f>LOOKUP($A4,'Learning Paths'!$AE:$AE,'Learning Paths'!AH:AH)</f>
        <v>0.2</v>
      </c>
      <c r="F4" s="19">
        <f>LOOKUP($A4,'Learning Paths'!$AE:$AE,'Learning Paths'!AI:AI)</f>
        <v>0.2</v>
      </c>
      <c r="G4" s="19">
        <f>LOOKUP($A4,'Learning Paths'!$AE:$AE,'Learning Paths'!AJ:AJ)</f>
        <v>0.2</v>
      </c>
      <c r="H4" s="19">
        <f>LOOKUP($A4,'Learning Paths'!$AE:$AE,'Learning Paths'!AK:AK)</f>
        <v>0.2</v>
      </c>
      <c r="I4" s="19">
        <f>LOOKUP($A4,'Learning Paths'!$AE:$AE,'Learning Paths'!AL:AL)</f>
        <v>0.2</v>
      </c>
      <c r="J4" s="19">
        <f>LOOKUP($A4,'Learning Paths'!$AE:$AE,'Learning Paths'!AM:AM)</f>
        <v>0.2</v>
      </c>
    </row>
    <row r="5" spans="1:10" x14ac:dyDescent="0.25">
      <c r="A5" s="17" t="s">
        <v>56</v>
      </c>
      <c r="B5" s="17" t="str">
        <f>LOOKUP($A5,'Learning Paths'!$AE:$AE,'Learning Paths'!AF:AF)</f>
        <v>Aeration Systems</v>
      </c>
      <c r="C5" s="19" t="str">
        <f>LOOKUP($A5,'Learning Paths'!$AE:$AE,'Learning Paths'!AG:AG)</f>
        <v>25-09505-001</v>
      </c>
      <c r="D5" s="19">
        <f>LOOKUP($A5,'Learning Paths'!$AE:$AE,'Learning Paths'!AH:AH)</f>
        <v>0.15</v>
      </c>
      <c r="E5" s="19">
        <f>LOOKUP($A5,'Learning Paths'!$AE:$AE,'Learning Paths'!AH:AH)</f>
        <v>0.15</v>
      </c>
      <c r="F5" s="19">
        <f>LOOKUP($A5,'Learning Paths'!$AE:$AE,'Learning Paths'!AI:AI)</f>
        <v>0.15</v>
      </c>
      <c r="G5" s="19">
        <f>LOOKUP($A5,'Learning Paths'!$AE:$AE,'Learning Paths'!AJ:AJ)</f>
        <v>0.15</v>
      </c>
      <c r="H5" s="19">
        <f>LOOKUP($A5,'Learning Paths'!$AE:$AE,'Learning Paths'!AK:AK)</f>
        <v>0.15</v>
      </c>
      <c r="I5" s="19">
        <f>LOOKUP($A5,'Learning Paths'!$AE:$AE,'Learning Paths'!AL:AL)</f>
        <v>0</v>
      </c>
      <c r="J5" s="19">
        <f>LOOKUP($A5,'Learning Paths'!$AE:$AE,'Learning Paths'!AM:AM)</f>
        <v>0</v>
      </c>
    </row>
    <row r="6" spans="1:10" x14ac:dyDescent="0.25">
      <c r="A6" s="17" t="s">
        <v>108</v>
      </c>
      <c r="B6" s="17" t="str">
        <f>LOOKUP($A6,'Learning Paths'!$AE:$AE,'Learning Paths'!AF:AF)</f>
        <v>Electrical Fundamentals</v>
      </c>
      <c r="C6" s="19" t="str">
        <f>LOOKUP($A6,'Learning Paths'!$AE:$AE,'Learning Paths'!AG:AG)</f>
        <v>25-05994-001</v>
      </c>
      <c r="D6" s="19">
        <f>LOOKUP($A6,'Learning Paths'!$AE:$AE,'Learning Paths'!AH:AH)</f>
        <v>0.15</v>
      </c>
      <c r="E6" s="19">
        <f>LOOKUP($A6,'Learning Paths'!$AE:$AE,'Learning Paths'!AH:AH)</f>
        <v>0.15</v>
      </c>
      <c r="F6" s="19">
        <f>LOOKUP($A6,'Learning Paths'!$AE:$AE,'Learning Paths'!AI:AI)</f>
        <v>0.15</v>
      </c>
      <c r="G6" s="19">
        <f>LOOKUP($A6,'Learning Paths'!$AE:$AE,'Learning Paths'!AJ:AJ)</f>
        <v>0.15</v>
      </c>
      <c r="H6" s="19">
        <f>LOOKUP($A6,'Learning Paths'!$AE:$AE,'Learning Paths'!AK:AK)</f>
        <v>0.15</v>
      </c>
      <c r="I6" s="19">
        <f>LOOKUP($A6,'Learning Paths'!$AE:$AE,'Learning Paths'!AL:AL)</f>
        <v>0.15</v>
      </c>
      <c r="J6" s="19">
        <f>LOOKUP($A6,'Learning Paths'!$AE:$AE,'Learning Paths'!AM:AM)</f>
        <v>0.15</v>
      </c>
    </row>
    <row r="7" spans="1:10" x14ac:dyDescent="0.25">
      <c r="A7" s="17" t="s">
        <v>109</v>
      </c>
      <c r="B7" s="17" t="str">
        <f>LOOKUP($A7,'Learning Paths'!$AE:$AE,'Learning Paths'!AF:AF)</f>
        <v>Representative Sampling</v>
      </c>
      <c r="C7" s="19" t="str">
        <f>LOOKUP($A7,'Learning Paths'!$AE:$AE,'Learning Paths'!AG:AG)</f>
        <v>25-05995-002</v>
      </c>
      <c r="D7" s="19">
        <f>LOOKUP($A7,'Learning Paths'!$AE:$AE,'Learning Paths'!AH:AH)</f>
        <v>0.15</v>
      </c>
      <c r="E7" s="19">
        <f>LOOKUP($A7,'Learning Paths'!$AE:$AE,'Learning Paths'!AH:AH)</f>
        <v>0.15</v>
      </c>
      <c r="F7" s="19">
        <f>LOOKUP($A7,'Learning Paths'!$AE:$AE,'Learning Paths'!AI:AI)</f>
        <v>0.15</v>
      </c>
      <c r="G7" s="19">
        <f>LOOKUP($A7,'Learning Paths'!$AE:$AE,'Learning Paths'!AJ:AJ)</f>
        <v>0.15</v>
      </c>
      <c r="H7" s="19">
        <f>LOOKUP($A7,'Learning Paths'!$AE:$AE,'Learning Paths'!AK:AK)</f>
        <v>0.15</v>
      </c>
      <c r="I7" s="19">
        <f>LOOKUP($A7,'Learning Paths'!$AE:$AE,'Learning Paths'!AL:AL)</f>
        <v>0.15</v>
      </c>
      <c r="J7" s="19">
        <f>LOOKUP($A7,'Learning Paths'!$AE:$AE,'Learning Paths'!AM:AM)</f>
        <v>0.15</v>
      </c>
    </row>
    <row r="8" spans="1:10" x14ac:dyDescent="0.25">
      <c r="A8" s="17" t="s">
        <v>1052</v>
      </c>
      <c r="B8" s="17" t="str">
        <f>LOOKUP($A8,'Learning Paths'!$AE:$AE,'Learning Paths'!AF:AF)</f>
        <v>Backflow Preventers</v>
      </c>
      <c r="C8" s="19" t="str">
        <f>LOOKUP($A8,'Learning Paths'!$AE:$AE,'Learning Paths'!AG:AG)</f>
        <v>25-08959-001</v>
      </c>
      <c r="D8" s="19">
        <f>LOOKUP($A8,'Learning Paths'!$AE:$AE,'Learning Paths'!AH:AH)</f>
        <v>0.05</v>
      </c>
      <c r="E8" s="19">
        <f>LOOKUP($A8,'Learning Paths'!$AE:$AE,'Learning Paths'!AH:AH)</f>
        <v>0.05</v>
      </c>
      <c r="F8" s="19">
        <f>LOOKUP($A8,'Learning Paths'!$AE:$AE,'Learning Paths'!AI:AI)</f>
        <v>0.05</v>
      </c>
      <c r="G8" s="19">
        <f>LOOKUP($A8,'Learning Paths'!$AE:$AE,'Learning Paths'!AJ:AJ)</f>
        <v>0.05</v>
      </c>
      <c r="H8" s="19">
        <f>LOOKUP($A8,'Learning Paths'!$AE:$AE,'Learning Paths'!AK:AK)</f>
        <v>0.05</v>
      </c>
      <c r="I8" s="19">
        <f>LOOKUP($A8,'Learning Paths'!$AE:$AE,'Learning Paths'!AL:AL)</f>
        <v>0.05</v>
      </c>
      <c r="J8" s="19">
        <f>LOOKUP($A8,'Learning Paths'!$AE:$AE,'Learning Paths'!AM:AM)</f>
        <v>0.05</v>
      </c>
    </row>
    <row r="9" spans="1:10" x14ac:dyDescent="0.25">
      <c r="A9" s="17" t="s">
        <v>61</v>
      </c>
      <c r="B9" s="17" t="str">
        <f>LOOKUP($A9,'Learning Paths'!$AE:$AE,'Learning Paths'!AF:AF)</f>
        <v>Lift Stations</v>
      </c>
      <c r="C9" s="21" t="str">
        <f>LOOKUP($A9,'Learning Paths'!$AE:$AE,'Learning Paths'!AG:AG)</f>
        <v>25-06003-001</v>
      </c>
      <c r="D9" s="21">
        <f>LOOKUP($A9,'Learning Paths'!$AE:$AE,'Learning Paths'!AH:AH)</f>
        <v>0.2</v>
      </c>
      <c r="E9" s="19">
        <f>LOOKUP($A9,'Learning Paths'!$AE:$AE,'Learning Paths'!AH:AH)</f>
        <v>0.2</v>
      </c>
      <c r="F9" s="21">
        <f>LOOKUP($A9,'Learning Paths'!$AE:$AE,'Learning Paths'!AI:AI)</f>
        <v>0</v>
      </c>
      <c r="G9" s="21">
        <f>LOOKUP($A9,'Learning Paths'!$AE:$AE,'Learning Paths'!AJ:AJ)</f>
        <v>0.2</v>
      </c>
      <c r="H9" s="21">
        <f>LOOKUP($A9,'Learning Paths'!$AE:$AE,'Learning Paths'!AK:AK)</f>
        <v>0.2</v>
      </c>
      <c r="I9" s="21">
        <f>LOOKUP($A9,'Learning Paths'!$AE:$AE,'Learning Paths'!AL:AL)</f>
        <v>0</v>
      </c>
      <c r="J9" s="21">
        <f>LOOKUP($A9,'Learning Paths'!$AE:$AE,'Learning Paths'!AM:AM)</f>
        <v>0.2</v>
      </c>
    </row>
    <row r="10" spans="1:10" x14ac:dyDescent="0.25">
      <c r="A10" s="17" t="s">
        <v>524</v>
      </c>
      <c r="B10" s="17" t="str">
        <f>LOOKUP($A10,'Learning Paths'!$AE:$AE,'Learning Paths'!AF:AF)</f>
        <v>Laboratory - Total Suspended Solids</v>
      </c>
      <c r="C10" s="19" t="str">
        <f>LOOKUP($A10,'Learning Paths'!$AE:$AE,'Learning Paths'!AG:AG)</f>
        <v>25-06028-001</v>
      </c>
      <c r="D10" s="19">
        <f>LOOKUP($A10,'Learning Paths'!$AE:$AE,'Learning Paths'!AH:AH)</f>
        <v>0.1</v>
      </c>
      <c r="E10" s="19">
        <f>LOOKUP($A10,'Learning Paths'!$AE:$AE,'Learning Paths'!AH:AH)</f>
        <v>0.1</v>
      </c>
      <c r="F10" s="19">
        <f>LOOKUP($A10,'Learning Paths'!$AE:$AE,'Learning Paths'!AI:AI)</f>
        <v>0.1</v>
      </c>
      <c r="G10" s="19">
        <f>LOOKUP($A10,'Learning Paths'!$AE:$AE,'Learning Paths'!AJ:AJ)</f>
        <v>0.1</v>
      </c>
      <c r="H10" s="19">
        <f>LOOKUP($A10,'Learning Paths'!$AE:$AE,'Learning Paths'!AK:AK)</f>
        <v>0.1</v>
      </c>
      <c r="I10" s="19">
        <f>LOOKUP($A10,'Learning Paths'!$AE:$AE,'Learning Paths'!AL:AL)</f>
        <v>0</v>
      </c>
      <c r="J10" s="19">
        <f>LOOKUP($A10,'Learning Paths'!$AE:$AE,'Learning Paths'!AM:AM)</f>
        <v>0</v>
      </c>
    </row>
    <row r="11" spans="1:10" x14ac:dyDescent="0.25">
      <c r="A11" s="17" t="s">
        <v>530</v>
      </c>
      <c r="B11" s="17" t="str">
        <f>LOOKUP($A11,'Learning Paths'!$AE:$AE,'Learning Paths'!AF:AF)</f>
        <v>Laboratory Testing - Biochemical Oxygen Demand</v>
      </c>
      <c r="C11" s="19" t="str">
        <f>LOOKUP($A11,'Learning Paths'!$AE:$AE,'Learning Paths'!AG:AG)</f>
        <v>25-07744-001</v>
      </c>
      <c r="D11" s="19">
        <f>LOOKUP($A11,'Learning Paths'!$AE:$AE,'Learning Paths'!AH:AH)</f>
        <v>0.2</v>
      </c>
      <c r="E11" s="19">
        <f>LOOKUP($A11,'Learning Paths'!$AE:$AE,'Learning Paths'!AH:AH)</f>
        <v>0.2</v>
      </c>
      <c r="F11" s="19">
        <f>LOOKUP($A11,'Learning Paths'!$AE:$AE,'Learning Paths'!AI:AI)</f>
        <v>0</v>
      </c>
      <c r="G11" s="19">
        <f>LOOKUP($A11,'Learning Paths'!$AE:$AE,'Learning Paths'!AJ:AJ)</f>
        <v>0.2</v>
      </c>
      <c r="H11" s="19">
        <f>LOOKUP($A11,'Learning Paths'!$AE:$AE,'Learning Paths'!AK:AK)</f>
        <v>0.2</v>
      </c>
      <c r="I11" s="19">
        <f>LOOKUP($A11,'Learning Paths'!$AE:$AE,'Learning Paths'!AL:AL)</f>
        <v>0</v>
      </c>
      <c r="J11" s="19">
        <f>LOOKUP($A11,'Learning Paths'!$AE:$AE,'Learning Paths'!AM:AM)</f>
        <v>0.2</v>
      </c>
    </row>
    <row r="12" spans="1:10" x14ac:dyDescent="0.25">
      <c r="A12" s="17" t="s">
        <v>174</v>
      </c>
      <c r="B12" s="17" t="str">
        <f>LOOKUP($A12,'Learning Paths'!$AE:$AE,'Learning Paths'!AF:AF)</f>
        <v>Math Strategies for Success</v>
      </c>
      <c r="C12" s="19" t="str">
        <f>LOOKUP($A12,'Learning Paths'!$AE:$AE,'Learning Paths'!AG:AG)</f>
        <v>25-05983-002</v>
      </c>
      <c r="D12" s="19">
        <f>LOOKUP($A12,'Learning Paths'!$AE:$AE,'Learning Paths'!AH:AH)</f>
        <v>0.1</v>
      </c>
      <c r="E12" s="19">
        <f>LOOKUP($A12,'Learning Paths'!$AE:$AE,'Learning Paths'!AH:AH)</f>
        <v>0.1</v>
      </c>
      <c r="F12" s="19">
        <f>LOOKUP($A12,'Learning Paths'!$AE:$AE,'Learning Paths'!AI:AI)</f>
        <v>0.1</v>
      </c>
      <c r="G12" s="19">
        <f>LOOKUP($A12,'Learning Paths'!$AE:$AE,'Learning Paths'!AJ:AJ)</f>
        <v>0.1</v>
      </c>
      <c r="H12" s="19">
        <f>LOOKUP($A12,'Learning Paths'!$AE:$AE,'Learning Paths'!AK:AK)</f>
        <v>0.1</v>
      </c>
      <c r="I12" s="19">
        <f>LOOKUP($A12,'Learning Paths'!$AE:$AE,'Learning Paths'!AL:AL)</f>
        <v>0.1</v>
      </c>
      <c r="J12" s="19">
        <f>LOOKUP($A12,'Learning Paths'!$AE:$AE,'Learning Paths'!AM:AM)</f>
        <v>0.1</v>
      </c>
    </row>
    <row r="13" spans="1:10" x14ac:dyDescent="0.25">
      <c r="A13" s="17" t="s">
        <v>51</v>
      </c>
      <c r="B13" s="17" t="str">
        <f>LOOKUP($A13,'Learning Paths'!$AE:$AE,'Learning Paths'!AF:AF)</f>
        <v>Unit Conversions</v>
      </c>
      <c r="C13" s="19" t="str">
        <f>LOOKUP($A13,'Learning Paths'!$AE:$AE,'Learning Paths'!AG:AG)</f>
        <v>25-05984-002</v>
      </c>
      <c r="D13" s="19">
        <f>LOOKUP($A13,'Learning Paths'!$AE:$AE,'Learning Paths'!AH:AH)</f>
        <v>0.05</v>
      </c>
      <c r="E13" s="19">
        <f>LOOKUP($A13,'Learning Paths'!$AE:$AE,'Learning Paths'!AH:AH)</f>
        <v>0.05</v>
      </c>
      <c r="F13" s="19">
        <f>LOOKUP($A13,'Learning Paths'!$AE:$AE,'Learning Paths'!AI:AI)</f>
        <v>0.05</v>
      </c>
      <c r="G13" s="19">
        <f>LOOKUP($A13,'Learning Paths'!$AE:$AE,'Learning Paths'!AJ:AJ)</f>
        <v>0.05</v>
      </c>
      <c r="H13" s="19">
        <f>LOOKUP($A13,'Learning Paths'!$AE:$AE,'Learning Paths'!AK:AK)</f>
        <v>0.05</v>
      </c>
      <c r="I13" s="19">
        <f>LOOKUP($A13,'Learning Paths'!$AE:$AE,'Learning Paths'!AL:AL)</f>
        <v>0.05</v>
      </c>
      <c r="J13" s="19">
        <f>LOOKUP($A13,'Learning Paths'!$AE:$AE,'Learning Paths'!AM:AM)</f>
        <v>0.05</v>
      </c>
    </row>
    <row r="14" spans="1:10" x14ac:dyDescent="0.25">
      <c r="A14" s="17" t="s">
        <v>52</v>
      </c>
      <c r="B14" s="17" t="str">
        <f>LOOKUP($A14,'Learning Paths'!$AE:$AE,'Learning Paths'!AF:AF)</f>
        <v>Geometry</v>
      </c>
      <c r="C14" s="19" t="str">
        <f>LOOKUP($A14,'Learning Paths'!$AE:$AE,'Learning Paths'!AG:AG)</f>
        <v>25-05985-002</v>
      </c>
      <c r="D14" s="19">
        <f>LOOKUP($A14,'Learning Paths'!$AE:$AE,'Learning Paths'!AH:AH)</f>
        <v>0.05</v>
      </c>
      <c r="E14" s="19">
        <f>LOOKUP($A14,'Learning Paths'!$AE:$AE,'Learning Paths'!AH:AH)</f>
        <v>0.05</v>
      </c>
      <c r="F14" s="19">
        <f>LOOKUP($A14,'Learning Paths'!$AE:$AE,'Learning Paths'!AI:AI)</f>
        <v>0.05</v>
      </c>
      <c r="G14" s="19">
        <f>LOOKUP($A14,'Learning Paths'!$AE:$AE,'Learning Paths'!AJ:AJ)</f>
        <v>0.05</v>
      </c>
      <c r="H14" s="19">
        <f>LOOKUP($A14,'Learning Paths'!$AE:$AE,'Learning Paths'!AK:AK)</f>
        <v>0.05</v>
      </c>
      <c r="I14" s="19">
        <f>LOOKUP($A14,'Learning Paths'!$AE:$AE,'Learning Paths'!AL:AL)</f>
        <v>0.05</v>
      </c>
      <c r="J14" s="19">
        <f>LOOKUP($A14,'Learning Paths'!$AE:$AE,'Learning Paths'!AM:AM)</f>
        <v>0.05</v>
      </c>
    </row>
    <row r="15" spans="1:10" x14ac:dyDescent="0.25">
      <c r="A15" s="17" t="s">
        <v>236</v>
      </c>
      <c r="B15" s="17" t="str">
        <f>LOOKUP($A15,'Learning Paths'!$AE:$AE,'Learning Paths'!AF:AF)</f>
        <v>Chemical Dosing</v>
      </c>
      <c r="C15" s="19" t="str">
        <f>LOOKUP($A15,'Learning Paths'!$AE:$AE,'Learning Paths'!AG:AG)</f>
        <v>25-05986-002</v>
      </c>
      <c r="D15" s="19">
        <f>LOOKUP($A15,'Learning Paths'!$AE:$AE,'Learning Paths'!AH:AH)</f>
        <v>0.05</v>
      </c>
      <c r="E15" s="19">
        <f>LOOKUP($A15,'Learning Paths'!$AE:$AE,'Learning Paths'!AH:AH)</f>
        <v>0.05</v>
      </c>
      <c r="F15" s="19">
        <f>LOOKUP($A15,'Learning Paths'!$AE:$AE,'Learning Paths'!AI:AI)</f>
        <v>0.05</v>
      </c>
      <c r="G15" s="19">
        <f>LOOKUP($A15,'Learning Paths'!$AE:$AE,'Learning Paths'!AJ:AJ)</f>
        <v>0.05</v>
      </c>
      <c r="H15" s="19">
        <f>LOOKUP($A15,'Learning Paths'!$AE:$AE,'Learning Paths'!AK:AK)</f>
        <v>0.05</v>
      </c>
      <c r="I15" s="19">
        <f>LOOKUP($A15,'Learning Paths'!$AE:$AE,'Learning Paths'!AL:AL)</f>
        <v>0.05</v>
      </c>
      <c r="J15" s="19">
        <f>LOOKUP($A15,'Learning Paths'!$AE:$AE,'Learning Paths'!AM:AM)</f>
        <v>0.05</v>
      </c>
    </row>
    <row r="16" spans="1:10" x14ac:dyDescent="0.25">
      <c r="A16" s="17" t="s">
        <v>65</v>
      </c>
      <c r="B16" s="17" t="str">
        <f>LOOKUP($A16,'Learning Paths'!$AE:$AE,'Learning Paths'!AF:AF)</f>
        <v>Introduction to Wastewater:  A Plant Overview</v>
      </c>
      <c r="C16" s="19" t="str">
        <f>LOOKUP($A16,'Learning Paths'!$AE:$AE,'Learning Paths'!AG:AG)</f>
        <v>25-06006-001</v>
      </c>
      <c r="D16" s="19">
        <f>LOOKUP($A16,'Learning Paths'!$AE:$AE,'Learning Paths'!AH:AH)</f>
        <v>0.2</v>
      </c>
      <c r="E16" s="19">
        <f>LOOKUP($A16,'Learning Paths'!$AE:$AE,'Learning Paths'!AH:AH)</f>
        <v>0.2</v>
      </c>
      <c r="F16" s="19">
        <f>LOOKUP($A16,'Learning Paths'!$AE:$AE,'Learning Paths'!AI:AI)</f>
        <v>0</v>
      </c>
      <c r="G16" s="19">
        <f>LOOKUP($A16,'Learning Paths'!$AE:$AE,'Learning Paths'!AJ:AJ)</f>
        <v>0.2</v>
      </c>
      <c r="H16" s="19">
        <f>LOOKUP($A16,'Learning Paths'!$AE:$AE,'Learning Paths'!AK:AK)</f>
        <v>0.2</v>
      </c>
      <c r="I16" s="19">
        <f>LOOKUP($A16,'Learning Paths'!$AE:$AE,'Learning Paths'!AL:AL)</f>
        <v>0</v>
      </c>
      <c r="J16" s="19">
        <f>LOOKUP($A16,'Learning Paths'!$AE:$AE,'Learning Paths'!AM:AM)</f>
        <v>0</v>
      </c>
    </row>
    <row r="17" spans="1:10" x14ac:dyDescent="0.25">
      <c r="A17" s="17" t="s">
        <v>519</v>
      </c>
      <c r="B17" s="17" t="str">
        <f>LOOKUP($A17,'Learning Paths'!$AE:$AE,'Learning Paths'!AF:AF)</f>
        <v>What's In My Wastewater: Definitions and Typical Ratios</v>
      </c>
      <c r="C17" s="19" t="str">
        <f>LOOKUP($A17,'Learning Paths'!$AE:$AE,'Learning Paths'!AG:AG)</f>
        <v>25-06007-001</v>
      </c>
      <c r="D17" s="19">
        <f>LOOKUP($A17,'Learning Paths'!$AE:$AE,'Learning Paths'!AH:AH)</f>
        <v>0.15</v>
      </c>
      <c r="E17" s="19">
        <f>LOOKUP($A17,'Learning Paths'!$AE:$AE,'Learning Paths'!AH:AH)</f>
        <v>0.15</v>
      </c>
      <c r="F17" s="19">
        <f>LOOKUP($A17,'Learning Paths'!$AE:$AE,'Learning Paths'!AI:AI)</f>
        <v>0</v>
      </c>
      <c r="G17" s="19">
        <f>LOOKUP($A17,'Learning Paths'!$AE:$AE,'Learning Paths'!AJ:AJ)</f>
        <v>0.15</v>
      </c>
      <c r="H17" s="19">
        <f>LOOKUP($A17,'Learning Paths'!$AE:$AE,'Learning Paths'!AK:AK)</f>
        <v>0.15</v>
      </c>
      <c r="I17" s="19">
        <f>LOOKUP($A17,'Learning Paths'!$AE:$AE,'Learning Paths'!AL:AL)</f>
        <v>0</v>
      </c>
      <c r="J17" s="19">
        <f>LOOKUP($A17,'Learning Paths'!$AE:$AE,'Learning Paths'!AM:AM)</f>
        <v>0</v>
      </c>
    </row>
    <row r="18" spans="1:10" x14ac:dyDescent="0.25">
      <c r="A18" s="17" t="s">
        <v>66</v>
      </c>
      <c r="B18" s="17" t="str">
        <f>LOOKUP($A18,'Learning Paths'!$AE:$AE,'Learning Paths'!AF:AF)</f>
        <v>Preliminary Treatment</v>
      </c>
      <c r="C18" s="19" t="str">
        <f>LOOKUP($A18,'Learning Paths'!$AE:$AE,'Learning Paths'!AG:AG)</f>
        <v>25-09381-001</v>
      </c>
      <c r="D18" s="19">
        <f>LOOKUP($A18,'Learning Paths'!$AE:$AE,'Learning Paths'!AH:AH)</f>
        <v>0.1</v>
      </c>
      <c r="E18" s="19">
        <f>LOOKUP($A18,'Learning Paths'!$AE:$AE,'Learning Paths'!AH:AH)</f>
        <v>0.1</v>
      </c>
      <c r="F18" s="19">
        <f>LOOKUP($A18,'Learning Paths'!$AE:$AE,'Learning Paths'!AI:AI)</f>
        <v>0.05</v>
      </c>
      <c r="G18" s="19">
        <f>LOOKUP($A18,'Learning Paths'!$AE:$AE,'Learning Paths'!AJ:AJ)</f>
        <v>0.1</v>
      </c>
      <c r="H18" s="19">
        <f>LOOKUP($A18,'Learning Paths'!$AE:$AE,'Learning Paths'!AK:AK)</f>
        <v>0.1</v>
      </c>
      <c r="I18" s="19">
        <f>LOOKUP($A18,'Learning Paths'!$AE:$AE,'Learning Paths'!AL:AL)</f>
        <v>0</v>
      </c>
      <c r="J18" s="19">
        <f>LOOKUP($A18,'Learning Paths'!$AE:$AE,'Learning Paths'!AM:AM)</f>
        <v>0.05</v>
      </c>
    </row>
    <row r="19" spans="1:10" x14ac:dyDescent="0.25">
      <c r="A19" s="17" t="s">
        <v>67</v>
      </c>
      <c r="B19" s="17" t="str">
        <f>LOOKUP($A19,'Learning Paths'!$AE:$AE,'Learning Paths'!AF:AF)</f>
        <v xml:space="preserve">Primary Treatment </v>
      </c>
      <c r="C19" s="19" t="str">
        <f>LOOKUP($A19,'Learning Paths'!$AE:$AE,'Learning Paths'!AG:AG)</f>
        <v>25-09382-001</v>
      </c>
      <c r="D19" s="19">
        <f>LOOKUP($A19,'Learning Paths'!$AE:$AE,'Learning Paths'!AH:AH)</f>
        <v>0.2</v>
      </c>
      <c r="E19" s="19">
        <f>LOOKUP($A19,'Learning Paths'!$AE:$AE,'Learning Paths'!AH:AH)</f>
        <v>0.2</v>
      </c>
      <c r="F19" s="19">
        <f>LOOKUP($A19,'Learning Paths'!$AE:$AE,'Learning Paths'!AI:AI)</f>
        <v>0</v>
      </c>
      <c r="G19" s="19">
        <f>LOOKUP($A19,'Learning Paths'!$AE:$AE,'Learning Paths'!AJ:AJ)</f>
        <v>0.2</v>
      </c>
      <c r="H19" s="19">
        <f>LOOKUP($A19,'Learning Paths'!$AE:$AE,'Learning Paths'!AK:AK)</f>
        <v>0.2</v>
      </c>
      <c r="I19" s="19">
        <f>LOOKUP($A19,'Learning Paths'!$AE:$AE,'Learning Paths'!AL:AL)</f>
        <v>0</v>
      </c>
      <c r="J19" s="19">
        <f>LOOKUP($A19,'Learning Paths'!$AE:$AE,'Learning Paths'!AM:AM)</f>
        <v>0</v>
      </c>
    </row>
    <row r="20" spans="1:10" x14ac:dyDescent="0.25">
      <c r="A20" s="17" t="s">
        <v>69</v>
      </c>
      <c r="B20" s="17" t="str">
        <f>LOOKUP($A20,'Learning Paths'!$AE:$AE,'Learning Paths'!AF:AF)</f>
        <v>Fixed Film: Trickling Filters and RBCs</v>
      </c>
      <c r="C20" s="19" t="str">
        <f>LOOKUP($A20,'Learning Paths'!$AE:$AE,'Learning Paths'!AG:AG)</f>
        <v>25-06008-001</v>
      </c>
      <c r="D20" s="19">
        <f>LOOKUP($A20,'Learning Paths'!$AE:$AE,'Learning Paths'!AH:AH)</f>
        <v>0.2</v>
      </c>
      <c r="E20" s="19">
        <f>LOOKUP($A20,'Learning Paths'!$AE:$AE,'Learning Paths'!AH:AH)</f>
        <v>0.2</v>
      </c>
      <c r="F20" s="19">
        <f>LOOKUP($A20,'Learning Paths'!$AE:$AE,'Learning Paths'!AI:AI)</f>
        <v>0</v>
      </c>
      <c r="G20" s="19">
        <f>LOOKUP($A20,'Learning Paths'!$AE:$AE,'Learning Paths'!AJ:AJ)</f>
        <v>0.2</v>
      </c>
      <c r="H20" s="19">
        <f>LOOKUP($A20,'Learning Paths'!$AE:$AE,'Learning Paths'!AK:AK)</f>
        <v>0.2</v>
      </c>
      <c r="I20" s="19">
        <f>LOOKUP($A20,'Learning Paths'!$AE:$AE,'Learning Paths'!AL:AL)</f>
        <v>0</v>
      </c>
      <c r="J20" s="19">
        <f>LOOKUP($A20,'Learning Paths'!$AE:$AE,'Learning Paths'!AM:AM)</f>
        <v>0</v>
      </c>
    </row>
    <row r="21" spans="1:10" x14ac:dyDescent="0.25">
      <c r="A21" s="17" t="s">
        <v>1749</v>
      </c>
      <c r="B21" s="17" t="str">
        <f>LOOKUP($A21,'Learning Paths'!$AE:$AE,'Learning Paths'!AF:AF)</f>
        <v>Wastewater Treatment Lagoons</v>
      </c>
      <c r="C21" s="19" t="str">
        <f>LOOKUP($A21,'Learning Paths'!$AE:$AE,'Learning Paths'!AG:AG)</f>
        <v>25-10618-001</v>
      </c>
      <c r="D21" s="19">
        <f>LOOKUP($A21,'Learning Paths'!$AE:$AE,'Learning Paths'!AH:AH)</f>
        <v>0.2</v>
      </c>
      <c r="E21" s="19">
        <f>LOOKUP($A21,'Learning Paths'!$AE:$AE,'Learning Paths'!AH:AH)</f>
        <v>0.2</v>
      </c>
      <c r="F21" s="19">
        <f>LOOKUP($A21,'Learning Paths'!$AE:$AE,'Learning Paths'!AI:AI)</f>
        <v>0</v>
      </c>
      <c r="G21" s="19">
        <f>LOOKUP($A21,'Learning Paths'!$AE:$AE,'Learning Paths'!AJ:AJ)</f>
        <v>0.2</v>
      </c>
      <c r="H21" s="19">
        <f>LOOKUP($A21,'Learning Paths'!$AE:$AE,'Learning Paths'!AK:AK)</f>
        <v>0.2</v>
      </c>
      <c r="I21" s="19">
        <f>LOOKUP($A21,'Learning Paths'!$AE:$AE,'Learning Paths'!AL:AL)</f>
        <v>0</v>
      </c>
      <c r="J21" s="19">
        <f>LOOKUP($A21,'Learning Paths'!$AE:$AE,'Learning Paths'!AM:AM)</f>
        <v>0</v>
      </c>
    </row>
    <row r="22" spans="1:10" x14ac:dyDescent="0.25">
      <c r="A22" s="17" t="s">
        <v>73</v>
      </c>
      <c r="B22" s="17" t="str">
        <f>LOOKUP($A22,'Learning Paths'!$AE:$AE,'Learning Paths'!AF:AF)</f>
        <v>Activated Sludge Basics: A Mechanical Approach</v>
      </c>
      <c r="C22" s="19" t="str">
        <f>LOOKUP($A22,'Learning Paths'!$AE:$AE,'Learning Paths'!AG:AG)</f>
        <v>25-06012-001</v>
      </c>
      <c r="D22" s="19">
        <f>LOOKUP($A22,'Learning Paths'!$AE:$AE,'Learning Paths'!AH:AH)</f>
        <v>0.2</v>
      </c>
      <c r="E22" s="19">
        <f>LOOKUP($A22,'Learning Paths'!$AE:$AE,'Learning Paths'!AH:AH)</f>
        <v>0.2</v>
      </c>
      <c r="F22" s="19">
        <f>LOOKUP($A22,'Learning Paths'!$AE:$AE,'Learning Paths'!AI:AI)</f>
        <v>0</v>
      </c>
      <c r="G22" s="19">
        <f>LOOKUP($A22,'Learning Paths'!$AE:$AE,'Learning Paths'!AJ:AJ)</f>
        <v>0.2</v>
      </c>
      <c r="H22" s="19">
        <f>LOOKUP($A22,'Learning Paths'!$AE:$AE,'Learning Paths'!AK:AK)</f>
        <v>0.2</v>
      </c>
      <c r="I22" s="19">
        <f>LOOKUP($A22,'Learning Paths'!$AE:$AE,'Learning Paths'!AL:AL)</f>
        <v>0</v>
      </c>
      <c r="J22" s="19">
        <f>LOOKUP($A22,'Learning Paths'!$AE:$AE,'Learning Paths'!AM:AM)</f>
        <v>0</v>
      </c>
    </row>
    <row r="23" spans="1:10" x14ac:dyDescent="0.25">
      <c r="A23" s="17" t="s">
        <v>892</v>
      </c>
      <c r="B23" s="17" t="str">
        <f>LOOKUP($A23,'Learning Paths'!$AE:$AE,'Learning Paths'!AF:AF)</f>
        <v>Activated Sludge Microbiology: A View Beneath the Surface</v>
      </c>
      <c r="C23" s="19" t="str">
        <f>LOOKUP($A23,'Learning Paths'!$AE:$AE,'Learning Paths'!AG:AG)</f>
        <v>25-08900-001</v>
      </c>
      <c r="D23" s="19">
        <f>LOOKUP($A23,'Learning Paths'!$AE:$AE,'Learning Paths'!AH:AH)</f>
        <v>0.1</v>
      </c>
      <c r="E23" s="19">
        <f>LOOKUP($A23,'Learning Paths'!$AE:$AE,'Learning Paths'!AH:AH)</f>
        <v>0.1</v>
      </c>
      <c r="F23" s="19">
        <f>LOOKUP($A23,'Learning Paths'!$AE:$AE,'Learning Paths'!AI:AI)</f>
        <v>0</v>
      </c>
      <c r="G23" s="19">
        <f>LOOKUP($A23,'Learning Paths'!$AE:$AE,'Learning Paths'!AJ:AJ)</f>
        <v>0.1</v>
      </c>
      <c r="H23" s="19">
        <f>LOOKUP($A23,'Learning Paths'!$AE:$AE,'Learning Paths'!AK:AK)</f>
        <v>0.1</v>
      </c>
      <c r="I23" s="19">
        <f>LOOKUP($A23,'Learning Paths'!$AE:$AE,'Learning Paths'!AL:AL)</f>
        <v>0</v>
      </c>
      <c r="J23" s="19">
        <f>LOOKUP($A23,'Learning Paths'!$AE:$AE,'Learning Paths'!AM:AM)</f>
        <v>0</v>
      </c>
    </row>
    <row r="24" spans="1:10" x14ac:dyDescent="0.25">
      <c r="A24" s="17" t="s">
        <v>893</v>
      </c>
      <c r="B24" s="17" t="str">
        <f>LOOKUP($A24,'Learning Paths'!$AE:$AE,'Learning Paths'!AF:AF)</f>
        <v>Activated Sludge Microbiology: Microscope Basics and the Micro Exam</v>
      </c>
      <c r="C24" s="19" t="str">
        <f>LOOKUP($A24,'Learning Paths'!$AE:$AE,'Learning Paths'!AG:AG)</f>
        <v>25-08901-001</v>
      </c>
      <c r="D24" s="19">
        <f>LOOKUP($A24,'Learning Paths'!$AE:$AE,'Learning Paths'!AH:AH)</f>
        <v>0.1</v>
      </c>
      <c r="E24" s="19">
        <f>LOOKUP($A24,'Learning Paths'!$AE:$AE,'Learning Paths'!AH:AH)</f>
        <v>0.1</v>
      </c>
      <c r="F24" s="19">
        <f>LOOKUP($A24,'Learning Paths'!$AE:$AE,'Learning Paths'!AI:AI)</f>
        <v>0</v>
      </c>
      <c r="G24" s="19">
        <f>LOOKUP($A24,'Learning Paths'!$AE:$AE,'Learning Paths'!AJ:AJ)</f>
        <v>0.1</v>
      </c>
      <c r="H24" s="19">
        <f>LOOKUP($A24,'Learning Paths'!$AE:$AE,'Learning Paths'!AK:AK)</f>
        <v>0.1</v>
      </c>
      <c r="I24" s="19">
        <f>LOOKUP($A24,'Learning Paths'!$AE:$AE,'Learning Paths'!AL:AL)</f>
        <v>0</v>
      </c>
      <c r="J24" s="19">
        <f>LOOKUP($A24,'Learning Paths'!$AE:$AE,'Learning Paths'!AM:AM)</f>
        <v>0</v>
      </c>
    </row>
    <row r="25" spans="1:10" x14ac:dyDescent="0.25">
      <c r="A25" s="17" t="s">
        <v>75</v>
      </c>
      <c r="B25" s="17" t="str">
        <f>LOOKUP($A25,'Learning Paths'!$AE:$AE,'Learning Paths'!AF:AF)</f>
        <v>Activated Sludge Microbiology: Filaments and Settling Problems</v>
      </c>
      <c r="C25" s="19" t="str">
        <f>LOOKUP($A25,'Learning Paths'!$AE:$AE,'Learning Paths'!AG:AG)</f>
        <v>25-08902-001</v>
      </c>
      <c r="D25" s="19">
        <f>LOOKUP($A25,'Learning Paths'!$AE:$AE,'Learning Paths'!AH:AH)</f>
        <v>0.1</v>
      </c>
      <c r="E25" s="19">
        <f>LOOKUP($A25,'Learning Paths'!$AE:$AE,'Learning Paths'!AH:AH)</f>
        <v>0.1</v>
      </c>
      <c r="F25" s="19">
        <f>LOOKUP($A25,'Learning Paths'!$AE:$AE,'Learning Paths'!AI:AI)</f>
        <v>0</v>
      </c>
      <c r="G25" s="19">
        <f>LOOKUP($A25,'Learning Paths'!$AE:$AE,'Learning Paths'!AJ:AJ)</f>
        <v>0.1</v>
      </c>
      <c r="H25" s="19">
        <f>LOOKUP($A25,'Learning Paths'!$AE:$AE,'Learning Paths'!AK:AK)</f>
        <v>0.1</v>
      </c>
      <c r="I25" s="19">
        <f>LOOKUP($A25,'Learning Paths'!$AE:$AE,'Learning Paths'!AL:AL)</f>
        <v>0</v>
      </c>
      <c r="J25" s="19">
        <f>LOOKUP($A25,'Learning Paths'!$AE:$AE,'Learning Paths'!AM:AM)</f>
        <v>0</v>
      </c>
    </row>
    <row r="26" spans="1:10" x14ac:dyDescent="0.25">
      <c r="A26" s="17" t="s">
        <v>82</v>
      </c>
      <c r="B26" s="17" t="str">
        <f>LOOKUP($A26,'Learning Paths'!$AE:$AE,'Learning Paths'!AF:AF)</f>
        <v>Chlorine Disinfection</v>
      </c>
      <c r="C26" s="19" t="str">
        <f>LOOKUP($A26,'Learning Paths'!$AE:$AE,'Learning Paths'!AG:AG)</f>
        <v>25-06020-001</v>
      </c>
      <c r="D26" s="19">
        <f>LOOKUP($A26,'Learning Paths'!$AE:$AE,'Learning Paths'!AH:AH)</f>
        <v>0.25</v>
      </c>
      <c r="E26" s="19">
        <f>LOOKUP($A26,'Learning Paths'!$AE:$AE,'Learning Paths'!AH:AH)</f>
        <v>0.25</v>
      </c>
      <c r="F26" s="19">
        <f>LOOKUP($A26,'Learning Paths'!$AE:$AE,'Learning Paths'!AI:AI)</f>
        <v>0.25</v>
      </c>
      <c r="G26" s="19">
        <f>LOOKUP($A26,'Learning Paths'!$AE:$AE,'Learning Paths'!AJ:AJ)</f>
        <v>0.25</v>
      </c>
      <c r="H26" s="19">
        <f>LOOKUP($A26,'Learning Paths'!$AE:$AE,'Learning Paths'!AK:AK)</f>
        <v>0.25</v>
      </c>
      <c r="I26" s="19">
        <f>LOOKUP($A26,'Learning Paths'!$AE:$AE,'Learning Paths'!AL:AL)</f>
        <v>0.25</v>
      </c>
      <c r="J26" s="19">
        <f>LOOKUP($A26,'Learning Paths'!$AE:$AE,'Learning Paths'!AM:AM)</f>
        <v>0</v>
      </c>
    </row>
    <row r="27" spans="1:10" x14ac:dyDescent="0.25">
      <c r="A27" s="17" t="s">
        <v>85</v>
      </c>
      <c r="B27" s="17" t="str">
        <f>LOOKUP($A27,'Learning Paths'!$AE:$AE,'Learning Paths'!AF:AF)</f>
        <v>Aerobic and Anaerobic Digestion</v>
      </c>
      <c r="C27" s="19" t="str">
        <f>LOOKUP($A27,'Learning Paths'!$AE:$AE,'Learning Paths'!AG:AG)</f>
        <v>25-06023-001</v>
      </c>
      <c r="D27" s="19">
        <f>LOOKUP($A27,'Learning Paths'!$AE:$AE,'Learning Paths'!AH:AH)</f>
        <v>0.3</v>
      </c>
      <c r="E27" s="19">
        <f>LOOKUP($A27,'Learning Paths'!$AE:$AE,'Learning Paths'!AH:AH)</f>
        <v>0.3</v>
      </c>
      <c r="F27" s="19">
        <f>LOOKUP($A27,'Learning Paths'!$AE:$AE,'Learning Paths'!AI:AI)</f>
        <v>0</v>
      </c>
      <c r="G27" s="19">
        <f>LOOKUP($A27,'Learning Paths'!$AE:$AE,'Learning Paths'!AJ:AJ)</f>
        <v>0.3</v>
      </c>
      <c r="H27" s="19">
        <f>LOOKUP($A27,'Learning Paths'!$AE:$AE,'Learning Paths'!AK:AK)</f>
        <v>0.3</v>
      </c>
      <c r="I27" s="19">
        <f>LOOKUP($A27,'Learning Paths'!$AE:$AE,'Learning Paths'!AL:AL)</f>
        <v>0</v>
      </c>
      <c r="J27" s="19">
        <f>LOOKUP($A27,'Learning Paths'!$AE:$AE,'Learning Paths'!AM:AM)</f>
        <v>0</v>
      </c>
    </row>
    <row r="28" spans="1:10" x14ac:dyDescent="0.25">
      <c r="A28" s="17" t="s">
        <v>86</v>
      </c>
      <c r="B28" s="17" t="str">
        <f>LOOKUP($A28,'Learning Paths'!$AE:$AE,'Learning Paths'!AF:AF)</f>
        <v>Belt Filter Presses</v>
      </c>
      <c r="C28" s="19" t="str">
        <f>LOOKUP($A28,'Learning Paths'!$AE:$AE,'Learning Paths'!AG:AG)</f>
        <v>25-06024-001</v>
      </c>
      <c r="D28" s="19">
        <f>LOOKUP($A28,'Learning Paths'!$AE:$AE,'Learning Paths'!AH:AH)</f>
        <v>0.2</v>
      </c>
      <c r="E28" s="19">
        <f>LOOKUP($A28,'Learning Paths'!$AE:$AE,'Learning Paths'!AH:AH)</f>
        <v>0.2</v>
      </c>
      <c r="F28" s="19">
        <f>LOOKUP($A28,'Learning Paths'!$AE:$AE,'Learning Paths'!AI:AI)</f>
        <v>0.2</v>
      </c>
      <c r="G28" s="19">
        <f>LOOKUP($A28,'Learning Paths'!$AE:$AE,'Learning Paths'!AJ:AJ)</f>
        <v>0.2</v>
      </c>
      <c r="H28" s="19">
        <f>LOOKUP($A28,'Learning Paths'!$AE:$AE,'Learning Paths'!AK:AK)</f>
        <v>0.2</v>
      </c>
      <c r="I28" s="19">
        <f>LOOKUP($A28,'Learning Paths'!$AE:$AE,'Learning Paths'!AL:AL)</f>
        <v>0</v>
      </c>
      <c r="J28" s="19">
        <f>LOOKUP($A28,'Learning Paths'!$AE:$AE,'Learning Paths'!AM:AM)</f>
        <v>0</v>
      </c>
    </row>
    <row r="29" spans="1:10" x14ac:dyDescent="0.25">
      <c r="A29" s="17" t="s">
        <v>87</v>
      </c>
      <c r="B29" s="17" t="str">
        <f>LOOKUP($A29,'Learning Paths'!$AE:$AE,'Learning Paths'!AF:AF)</f>
        <v>Centrifuges</v>
      </c>
      <c r="C29" s="19" t="str">
        <f>LOOKUP($A29,'Learning Paths'!$AE:$AE,'Learning Paths'!AG:AG)</f>
        <v>25-06025-001</v>
      </c>
      <c r="D29" s="19">
        <f>LOOKUP($A29,'Learning Paths'!$AE:$AE,'Learning Paths'!AH:AH)</f>
        <v>0.2</v>
      </c>
      <c r="E29" s="19">
        <f>LOOKUP($A29,'Learning Paths'!$AE:$AE,'Learning Paths'!AH:AH)</f>
        <v>0.2</v>
      </c>
      <c r="F29" s="19">
        <f>LOOKUP($A29,'Learning Paths'!$AE:$AE,'Learning Paths'!AI:AI)</f>
        <v>0.2</v>
      </c>
      <c r="G29" s="19">
        <f>LOOKUP($A29,'Learning Paths'!$AE:$AE,'Learning Paths'!AJ:AJ)</f>
        <v>0.2</v>
      </c>
      <c r="H29" s="19">
        <f>LOOKUP($A29,'Learning Paths'!$AE:$AE,'Learning Paths'!AK:AK)</f>
        <v>0.2</v>
      </c>
      <c r="I29" s="19">
        <f>LOOKUP($A29,'Learning Paths'!$AE:$AE,'Learning Paths'!AL:AL)</f>
        <v>0</v>
      </c>
      <c r="J29" s="19">
        <f>LOOKUP($A29,'Learning Paths'!$AE:$AE,'Learning Paths'!AM:AM)</f>
        <v>0</v>
      </c>
    </row>
    <row r="30" spans="1:10" x14ac:dyDescent="0.25">
      <c r="A30" s="17" t="s">
        <v>699</v>
      </c>
      <c r="B30" s="17" t="str">
        <f>LOOKUP($A30,'Learning Paths'!$AE:$AE,'Learning Paths'!AF:AF)</f>
        <v>MRT for Wastewater Treatment and Collection Systems</v>
      </c>
      <c r="C30" s="19" t="str">
        <f>LOOKUP($A30,'Learning Paths'!$AE:$AE,'Learning Paths'!AG:AG)</f>
        <v>25-06840-002</v>
      </c>
      <c r="D30" s="19">
        <f>LOOKUP($A30,'Learning Paths'!$AE:$AE,'Learning Paths'!AH:AH)</f>
        <v>0.25</v>
      </c>
      <c r="E30" s="19">
        <f>LOOKUP($A30,'Learning Paths'!$AE:$AE,'Learning Paths'!AH:AH)</f>
        <v>0.25</v>
      </c>
      <c r="F30" s="19">
        <f>LOOKUP($A30,'Learning Paths'!$AE:$AE,'Learning Paths'!AI:AI)</f>
        <v>0</v>
      </c>
      <c r="G30" s="19">
        <f>LOOKUP($A30,'Learning Paths'!$AE:$AE,'Learning Paths'!AJ:AJ)</f>
        <v>0.25</v>
      </c>
      <c r="H30" s="19">
        <f>LOOKUP($A30,'Learning Paths'!$AE:$AE,'Learning Paths'!AK:AK)</f>
        <v>0.25</v>
      </c>
      <c r="I30" s="19">
        <f>LOOKUP($A30,'Learning Paths'!$AE:$AE,'Learning Paths'!AL:AL)</f>
        <v>0</v>
      </c>
      <c r="J30" s="19">
        <f>LOOKUP($A30,'Learning Paths'!$AE:$AE,'Learning Paths'!AM:AM)</f>
        <v>0.25</v>
      </c>
    </row>
    <row r="31" spans="1:10" x14ac:dyDescent="0.25">
      <c r="A31" s="17" t="s">
        <v>1873</v>
      </c>
      <c r="B31" s="17" t="str">
        <f>LOOKUP($A31,'Learning Paths'!$AE:$AE,'Learning Paths'!AF:AF)</f>
        <v>Gravity and Dissolved Air Floatation Thickeners</v>
      </c>
      <c r="C31" s="19" t="str">
        <f>LOOKUP($A31,'Learning Paths'!$AE:$AE,'Learning Paths'!AG:AG)</f>
        <v>25-10671-001</v>
      </c>
      <c r="D31" s="19">
        <f>LOOKUP($A31,'Learning Paths'!$AE:$AE,'Learning Paths'!AH:AH)</f>
        <v>0.2</v>
      </c>
      <c r="E31" s="19">
        <f>LOOKUP($A31,'Learning Paths'!$AE:$AE,'Learning Paths'!AH:AH)</f>
        <v>0.2</v>
      </c>
      <c r="F31" s="19">
        <f>LOOKUP($A31,'Learning Paths'!$AE:$AE,'Learning Paths'!AI:AI)</f>
        <v>0</v>
      </c>
      <c r="G31" s="19">
        <f>LOOKUP($A31,'Learning Paths'!$AE:$AE,'Learning Paths'!AJ:AJ)</f>
        <v>0.2</v>
      </c>
      <c r="H31" s="19">
        <f>LOOKUP($A31,'Learning Paths'!$AE:$AE,'Learning Paths'!AK:AK)</f>
        <v>0.2</v>
      </c>
      <c r="I31" s="19">
        <f>LOOKUP($A31,'Learning Paths'!$AE:$AE,'Learning Paths'!AL:AL)</f>
        <v>0</v>
      </c>
      <c r="J31" s="19">
        <f>LOOKUP($A31,'Learning Paths'!$AE:$AE,'Learning Paths'!AM:AM)</f>
        <v>0</v>
      </c>
    </row>
    <row r="34" spans="1:10" x14ac:dyDescent="0.25">
      <c r="C34" s="21"/>
      <c r="D34" s="19"/>
      <c r="E34" s="21"/>
      <c r="F34" s="21"/>
      <c r="G34" s="21"/>
      <c r="H34" s="21"/>
      <c r="I34" s="21"/>
      <c r="J34" s="21"/>
    </row>
    <row r="35" spans="1:10" ht="15.6" x14ac:dyDescent="0.3">
      <c r="A35" s="4" t="s">
        <v>330</v>
      </c>
      <c r="E35" s="18" t="s">
        <v>283</v>
      </c>
      <c r="F35" s="18" t="s">
        <v>22</v>
      </c>
      <c r="G35" s="18" t="s">
        <v>23</v>
      </c>
      <c r="H35" s="18" t="s">
        <v>26</v>
      </c>
      <c r="I35" s="18" t="s">
        <v>25</v>
      </c>
      <c r="J35" s="18" t="s">
        <v>24</v>
      </c>
    </row>
    <row r="36" spans="1:10" ht="15.6" x14ac:dyDescent="0.3">
      <c r="A36" s="4" t="s">
        <v>331</v>
      </c>
      <c r="C36" s="22" t="s">
        <v>284</v>
      </c>
      <c r="E36" s="25">
        <f t="shared" ref="E36:J36" si="0">SUM(E4:E31)</f>
        <v>4.4000000000000012</v>
      </c>
      <c r="F36" s="25">
        <f t="shared" si="0"/>
        <v>1.75</v>
      </c>
      <c r="G36" s="25">
        <f t="shared" si="0"/>
        <v>4.4000000000000012</v>
      </c>
      <c r="H36" s="25">
        <f t="shared" si="0"/>
        <v>4.4000000000000012</v>
      </c>
      <c r="I36" s="25">
        <f t="shared" si="0"/>
        <v>1.0500000000000003</v>
      </c>
      <c r="J36" s="25">
        <f t="shared" si="0"/>
        <v>1.5000000000000002</v>
      </c>
    </row>
    <row r="37" spans="1:10" ht="15.6" x14ac:dyDescent="0.3">
      <c r="B37" s="4"/>
      <c r="C37" s="22" t="s">
        <v>342</v>
      </c>
      <c r="E37" s="26">
        <f>E36*10*60</f>
        <v>2640.0000000000009</v>
      </c>
      <c r="F37" s="26">
        <f t="shared" ref="F37:J37" si="1">F36*10*60</f>
        <v>1050</v>
      </c>
      <c r="G37" s="26">
        <f t="shared" si="1"/>
        <v>2640.0000000000009</v>
      </c>
      <c r="H37" s="26">
        <f t="shared" si="1"/>
        <v>2640.0000000000009</v>
      </c>
      <c r="I37" s="26">
        <f t="shared" si="1"/>
        <v>630.00000000000023</v>
      </c>
      <c r="J37" s="26">
        <f t="shared" si="1"/>
        <v>900.00000000000011</v>
      </c>
    </row>
    <row r="38" spans="1:10" ht="31.5" customHeight="1" x14ac:dyDescent="0.25">
      <c r="E38" s="20"/>
      <c r="F38" s="20"/>
      <c r="G38" s="20"/>
      <c r="H38" s="20"/>
      <c r="I38" s="20"/>
      <c r="J38" s="20"/>
    </row>
    <row r="39" spans="1:10" ht="55.5" customHeight="1" x14ac:dyDescent="0.3">
      <c r="A39" s="691" t="s">
        <v>1906</v>
      </c>
      <c r="B39" s="692"/>
      <c r="C39" s="692"/>
      <c r="D39" s="692"/>
      <c r="E39" s="692"/>
      <c r="F39" s="692"/>
      <c r="G39" s="692"/>
      <c r="H39" s="692"/>
      <c r="I39" s="692"/>
    </row>
    <row r="40" spans="1:10" ht="15.6" x14ac:dyDescent="0.3">
      <c r="A40" s="4" t="s">
        <v>875</v>
      </c>
    </row>
    <row r="41" spans="1:10" x14ac:dyDescent="0.25">
      <c r="E41" s="24"/>
    </row>
    <row r="42" spans="1:10" ht="15.6" x14ac:dyDescent="0.3">
      <c r="C42" s="22" t="s">
        <v>285</v>
      </c>
      <c r="E42" s="23">
        <v>550</v>
      </c>
    </row>
  </sheetData>
  <sortState xmlns:xlrd2="http://schemas.microsoft.com/office/spreadsheetml/2017/richdata2" ref="M4:M31">
    <sortCondition ref="M4:M31"/>
  </sortState>
  <mergeCells count="1">
    <mergeCell ref="A39:I39"/>
  </mergeCells>
  <pageMargins left="0.7" right="0.7" top="0.75" bottom="0.75" header="0.3" footer="0.3"/>
  <pageSetup scale="64" orientation="landscape" horizontalDpi="4294967293"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41"/>
  <sheetViews>
    <sheetView topLeftCell="B1" workbookViewId="0">
      <selection activeCell="B1" sqref="B1"/>
    </sheetView>
  </sheetViews>
  <sheetFormatPr defaultRowHeight="14.4" x14ac:dyDescent="0.3"/>
  <cols>
    <col min="1" max="1" width="0" hidden="1" customWidth="1"/>
    <col min="2" max="2" width="19.6640625" bestFit="1" customWidth="1"/>
    <col min="3" max="3" width="47.33203125" bestFit="1" customWidth="1"/>
    <col min="4" max="4" width="22" customWidth="1"/>
    <col min="5" max="5" width="45.6640625" hidden="1" customWidth="1"/>
    <col min="6" max="6" width="10.6640625" style="1" customWidth="1"/>
    <col min="7" max="11" width="9.109375" style="1"/>
  </cols>
  <sheetData>
    <row r="1" spans="1:11" ht="21" x14ac:dyDescent="0.4">
      <c r="B1" s="8" t="s">
        <v>287</v>
      </c>
    </row>
    <row r="3" spans="1:11" ht="15" thickBot="1" x14ac:dyDescent="0.35">
      <c r="B3" s="43" t="s">
        <v>286</v>
      </c>
      <c r="C3" s="43" t="s">
        <v>279</v>
      </c>
      <c r="D3" s="688" t="s">
        <v>280</v>
      </c>
      <c r="E3" s="688" t="s">
        <v>281</v>
      </c>
      <c r="F3" s="688" t="s">
        <v>282</v>
      </c>
      <c r="G3" s="688" t="s">
        <v>22</v>
      </c>
      <c r="H3" s="688" t="s">
        <v>23</v>
      </c>
      <c r="I3" s="688" t="s">
        <v>26</v>
      </c>
      <c r="J3" s="688" t="s">
        <v>25</v>
      </c>
      <c r="K3" s="688" t="s">
        <v>24</v>
      </c>
    </row>
    <row r="4" spans="1:11" ht="15.6" x14ac:dyDescent="0.3">
      <c r="A4" s="28"/>
      <c r="B4" t="s">
        <v>53</v>
      </c>
      <c r="C4" s="17" t="str">
        <f>LOOKUP(Table1[[#This Row],[Indigo ID Number]],'Learning Paths'!$AE:$AE,'Learning Paths'!AF:AF)</f>
        <v>Pumps</v>
      </c>
      <c r="D4" s="19" t="str">
        <f>LOOKUP(Table1[[#This Row],[Indigo ID Number]],'Learning Paths'!$AE:$AE,'Learning Paths'!AG:AG)</f>
        <v>25-06046-002</v>
      </c>
      <c r="E4" s="19" t="e">
        <f>LOOKUP(Table1[[#This Row],[Existing Approval No.]],'Learning Paths'!$AE:$AE,'Learning Paths'!AH:AH)</f>
        <v>#N/A</v>
      </c>
      <c r="F4" s="19">
        <f>LOOKUP(Table1[[#This Row],[Indigo ID Number]],'Learning Paths'!$AE:$AE,'Learning Paths'!AH:AH)</f>
        <v>0.2</v>
      </c>
      <c r="G4" s="19">
        <f>LOOKUP(Table1[[#This Row],[Indigo ID Number]],'Learning Paths'!$AE:$AE,'Learning Paths'!AI:AI)</f>
        <v>0.2</v>
      </c>
      <c r="H4" s="19">
        <f>LOOKUP(Table1[[#This Row],[Indigo ID Number]],'Learning Paths'!$AE:$AE,'Learning Paths'!AJ:AJ)</f>
        <v>0.2</v>
      </c>
      <c r="I4" s="19">
        <f>LOOKUP(Table1[[#This Row],[Indigo ID Number]],'Learning Paths'!$AE:$AE,'Learning Paths'!AK:AK)</f>
        <v>0.2</v>
      </c>
      <c r="J4" s="19">
        <f>LOOKUP(Table1[[#This Row],[Indigo ID Number]],'Learning Paths'!$AE:$AE,'Learning Paths'!AL:AL)</f>
        <v>0.2</v>
      </c>
      <c r="K4" s="19">
        <f>LOOKUP(Table1[[#This Row],[Indigo ID Number]],'Learning Paths'!$AE:$AE,'Learning Paths'!AM:AM)</f>
        <v>0.2</v>
      </c>
    </row>
    <row r="5" spans="1:11" ht="15.6" x14ac:dyDescent="0.3">
      <c r="A5" s="28"/>
      <c r="B5" t="s">
        <v>54</v>
      </c>
      <c r="C5" s="17" t="str">
        <f>LOOKUP(Table1[[#This Row],[Indigo ID Number]],'Learning Paths'!$AE:$AE,'Learning Paths'!AF:AF)</f>
        <v>Hydraulics Basics</v>
      </c>
      <c r="D5" s="19" t="str">
        <f>LOOKUP(Table1[[#This Row],[Indigo ID Number]],'Learning Paths'!$AE:$AE,'Learning Paths'!AG:AG)</f>
        <v>25-05990-001</v>
      </c>
      <c r="E5" s="19" t="e">
        <f>LOOKUP(Table1[[#This Row],[Existing Approval No.]],'Learning Paths'!$AE:$AE,'Learning Paths'!AH:AH)</f>
        <v>#N/A</v>
      </c>
      <c r="F5" s="19">
        <f>LOOKUP(Table1[[#This Row],[Indigo ID Number]],'Learning Paths'!$AE:$AE,'Learning Paths'!AH:AH)</f>
        <v>0.15</v>
      </c>
      <c r="G5" s="19">
        <f>LOOKUP(Table1[[#This Row],[Indigo ID Number]],'Learning Paths'!$AE:$AE,'Learning Paths'!AI:AI)</f>
        <v>0.15</v>
      </c>
      <c r="H5" s="19">
        <f>LOOKUP(Table1[[#This Row],[Indigo ID Number]],'Learning Paths'!$AE:$AE,'Learning Paths'!AJ:AJ)</f>
        <v>0.15</v>
      </c>
      <c r="I5" s="19">
        <f>LOOKUP(Table1[[#This Row],[Indigo ID Number]],'Learning Paths'!$AE:$AE,'Learning Paths'!AK:AK)</f>
        <v>0.15</v>
      </c>
      <c r="J5" s="19">
        <f>LOOKUP(Table1[[#This Row],[Indigo ID Number]],'Learning Paths'!$AE:$AE,'Learning Paths'!AL:AL)</f>
        <v>0.15</v>
      </c>
      <c r="K5" s="19">
        <f>LOOKUP(Table1[[#This Row],[Indigo ID Number]],'Learning Paths'!$AE:$AE,'Learning Paths'!AM:AM)</f>
        <v>0.15</v>
      </c>
    </row>
    <row r="6" spans="1:11" ht="15.6" x14ac:dyDescent="0.3">
      <c r="A6" s="28"/>
      <c r="B6" t="s">
        <v>516</v>
      </c>
      <c r="C6" s="17" t="str">
        <f>LOOKUP(Table1[[#This Row],[Indigo ID Number]],'Learning Paths'!$AE:$AE,'Learning Paths'!AF:AF)</f>
        <v>Maintenance</v>
      </c>
      <c r="D6" s="19" t="str">
        <f>LOOKUP(Table1[[#This Row],[Indigo ID Number]],'Learning Paths'!$AE:$AE,'Learning Paths'!AG:AG)</f>
        <v>25-05993-001</v>
      </c>
      <c r="E6" s="19" t="e">
        <f>LOOKUP(Table1[[#This Row],[Existing Approval No.]],'Learning Paths'!$AE:$AE,'Learning Paths'!AH:AH)</f>
        <v>#N/A</v>
      </c>
      <c r="F6" s="19">
        <f>LOOKUP(Table1[[#This Row],[Indigo ID Number]],'Learning Paths'!$AE:$AE,'Learning Paths'!AH:AH)</f>
        <v>0.15</v>
      </c>
      <c r="G6" s="19">
        <f>LOOKUP(Table1[[#This Row],[Indigo ID Number]],'Learning Paths'!$AE:$AE,'Learning Paths'!AI:AI)</f>
        <v>0.15</v>
      </c>
      <c r="H6" s="19">
        <f>LOOKUP(Table1[[#This Row],[Indigo ID Number]],'Learning Paths'!$AE:$AE,'Learning Paths'!AJ:AJ)</f>
        <v>0.15</v>
      </c>
      <c r="I6" s="19">
        <f>LOOKUP(Table1[[#This Row],[Indigo ID Number]],'Learning Paths'!$AE:$AE,'Learning Paths'!AK:AK)</f>
        <v>0.15</v>
      </c>
      <c r="J6" s="19">
        <f>LOOKUP(Table1[[#This Row],[Indigo ID Number]],'Learning Paths'!$AE:$AE,'Learning Paths'!AL:AL)</f>
        <v>0.15</v>
      </c>
      <c r="K6" s="19">
        <f>LOOKUP(Table1[[#This Row],[Indigo ID Number]],'Learning Paths'!$AE:$AE,'Learning Paths'!AM:AM)</f>
        <v>0.15</v>
      </c>
    </row>
    <row r="7" spans="1:11" ht="15.6" x14ac:dyDescent="0.3">
      <c r="A7" s="28"/>
      <c r="B7" t="s">
        <v>108</v>
      </c>
      <c r="C7" s="17" t="str">
        <f>LOOKUP(Table1[[#This Row],[Indigo ID Number]],'Learning Paths'!$AE:$AE,'Learning Paths'!AF:AF)</f>
        <v>Electrical Fundamentals</v>
      </c>
      <c r="D7" s="19" t="str">
        <f>LOOKUP(Table1[[#This Row],[Indigo ID Number]],'Learning Paths'!$AE:$AE,'Learning Paths'!AG:AG)</f>
        <v>25-05994-001</v>
      </c>
      <c r="E7" s="19" t="e">
        <f>LOOKUP(Table1[[#This Row],[Existing Approval No.]],'Learning Paths'!$AE:$AE,'Learning Paths'!AH:AH)</f>
        <v>#N/A</v>
      </c>
      <c r="F7" s="19">
        <f>LOOKUP(Table1[[#This Row],[Indigo ID Number]],'Learning Paths'!$AE:$AE,'Learning Paths'!AH:AH)</f>
        <v>0.15</v>
      </c>
      <c r="G7" s="19">
        <f>LOOKUP(Table1[[#This Row],[Indigo ID Number]],'Learning Paths'!$AE:$AE,'Learning Paths'!AI:AI)</f>
        <v>0.15</v>
      </c>
      <c r="H7" s="19">
        <f>LOOKUP(Table1[[#This Row],[Indigo ID Number]],'Learning Paths'!$AE:$AE,'Learning Paths'!AJ:AJ)</f>
        <v>0.15</v>
      </c>
      <c r="I7" s="19">
        <f>LOOKUP(Table1[[#This Row],[Indigo ID Number]],'Learning Paths'!$AE:$AE,'Learning Paths'!AK:AK)</f>
        <v>0.15</v>
      </c>
      <c r="J7" s="19">
        <f>LOOKUP(Table1[[#This Row],[Indigo ID Number]],'Learning Paths'!$AE:$AE,'Learning Paths'!AL:AL)</f>
        <v>0.15</v>
      </c>
      <c r="K7" s="19">
        <f>LOOKUP(Table1[[#This Row],[Indigo ID Number]],'Learning Paths'!$AE:$AE,'Learning Paths'!AM:AM)</f>
        <v>0.15</v>
      </c>
    </row>
    <row r="8" spans="1:11" ht="15.6" x14ac:dyDescent="0.3">
      <c r="A8" s="28"/>
      <c r="B8" t="s">
        <v>517</v>
      </c>
      <c r="C8" s="17" t="str">
        <f>LOOKUP(Table1[[#This Row],[Indigo ID Number]],'Learning Paths'!$AE:$AE,'Learning Paths'!AF:AF)</f>
        <v>Disinfection Byproducts</v>
      </c>
      <c r="D8" s="19" t="str">
        <f>LOOKUP(Table1[[#This Row],[Indigo ID Number]],'Learning Paths'!$AE:$AE,'Learning Paths'!AG:AG)</f>
        <v>25-05996-001</v>
      </c>
      <c r="E8" s="19" t="e">
        <f>LOOKUP(Table1[[#This Row],[Existing Approval No.]],'Learning Paths'!$AE:$AE,'Learning Paths'!AH:AH)</f>
        <v>#N/A</v>
      </c>
      <c r="F8" s="19">
        <f>LOOKUP(Table1[[#This Row],[Indigo ID Number]],'Learning Paths'!$AE:$AE,'Learning Paths'!AH:AH)</f>
        <v>0.15</v>
      </c>
      <c r="G8" s="19">
        <f>LOOKUP(Table1[[#This Row],[Indigo ID Number]],'Learning Paths'!$AE:$AE,'Learning Paths'!AI:AI)</f>
        <v>0.15</v>
      </c>
      <c r="H8" s="19">
        <f>LOOKUP(Table1[[#This Row],[Indigo ID Number]],'Learning Paths'!$AE:$AE,'Learning Paths'!AJ:AJ)</f>
        <v>0</v>
      </c>
      <c r="I8" s="19">
        <f>LOOKUP(Table1[[#This Row],[Indigo ID Number]],'Learning Paths'!$AE:$AE,'Learning Paths'!AK:AK)</f>
        <v>0</v>
      </c>
      <c r="J8" s="19">
        <f>LOOKUP(Table1[[#This Row],[Indigo ID Number]],'Learning Paths'!$AE:$AE,'Learning Paths'!AL:AL)</f>
        <v>0.15</v>
      </c>
      <c r="K8" s="19">
        <f>LOOKUP(Table1[[#This Row],[Indigo ID Number]],'Learning Paths'!$AE:$AE,'Learning Paths'!AM:AM)</f>
        <v>0</v>
      </c>
    </row>
    <row r="9" spans="1:11" ht="15.6" x14ac:dyDescent="0.3">
      <c r="A9" s="28"/>
      <c r="B9" t="s">
        <v>1052</v>
      </c>
      <c r="C9" s="17" t="str">
        <f>LOOKUP(Table1[[#This Row],[Indigo ID Number]],'Learning Paths'!$AE:$AE,'Learning Paths'!AF:AF)</f>
        <v>Backflow Preventers</v>
      </c>
      <c r="D9" s="19" t="str">
        <f>LOOKUP(Table1[[#This Row],[Indigo ID Number]],'Learning Paths'!$AE:$AE,'Learning Paths'!AG:AG)</f>
        <v>25-08959-001</v>
      </c>
      <c r="E9" s="19" t="e">
        <f>LOOKUP(Table1[[#This Row],[Existing Approval No.]],'Learning Paths'!$AE:$AE,'Learning Paths'!AH:AH)</f>
        <v>#N/A</v>
      </c>
      <c r="F9" s="19">
        <f>LOOKUP(Table1[[#This Row],[Indigo ID Number]],'Learning Paths'!$AE:$AE,'Learning Paths'!AH:AH)</f>
        <v>0.05</v>
      </c>
      <c r="G9" s="19">
        <f>LOOKUP(Table1[[#This Row],[Indigo ID Number]],'Learning Paths'!$AE:$AE,'Learning Paths'!AI:AI)</f>
        <v>0.05</v>
      </c>
      <c r="H9" s="19">
        <f>LOOKUP(Table1[[#This Row],[Indigo ID Number]],'Learning Paths'!$AE:$AE,'Learning Paths'!AJ:AJ)</f>
        <v>0.05</v>
      </c>
      <c r="I9" s="19">
        <f>LOOKUP(Table1[[#This Row],[Indigo ID Number]],'Learning Paths'!$AE:$AE,'Learning Paths'!AK:AK)</f>
        <v>0.05</v>
      </c>
      <c r="J9" s="19">
        <f>LOOKUP(Table1[[#This Row],[Indigo ID Number]],'Learning Paths'!$AE:$AE,'Learning Paths'!AL:AL)</f>
        <v>0.05</v>
      </c>
      <c r="K9" s="19">
        <f>LOOKUP(Table1[[#This Row],[Indigo ID Number]],'Learning Paths'!$AE:$AE,'Learning Paths'!AM:AM)</f>
        <v>0.05</v>
      </c>
    </row>
    <row r="10" spans="1:11" ht="15.6" x14ac:dyDescent="0.3">
      <c r="A10" s="28"/>
      <c r="B10" t="s">
        <v>522</v>
      </c>
      <c r="C10" s="17" t="str">
        <f>LOOKUP(Table1[[#This Row],[Indigo ID Number]],'Learning Paths'!$AE:$AE,'Learning Paths'!AF:AF)</f>
        <v>Laboratory - pH, Alkalinity, and Hardness</v>
      </c>
      <c r="D10" s="19" t="str">
        <f>LOOKUP(Table1[[#This Row],[Indigo ID Number]],'Learning Paths'!$AE:$AE,'Learning Paths'!AG:AG)</f>
        <v>25-07704-001</v>
      </c>
      <c r="E10" s="19" t="e">
        <f>LOOKUP(Table1[[#This Row],[Existing Approval No.]],'Learning Paths'!$AE:$AE,'Learning Paths'!AH:AH)</f>
        <v>#N/A</v>
      </c>
      <c r="F10" s="19">
        <f>LOOKUP(Table1[[#This Row],[Indigo ID Number]],'Learning Paths'!$AE:$AE,'Learning Paths'!AH:AH)</f>
        <v>0.2</v>
      </c>
      <c r="G10" s="19">
        <f>LOOKUP(Table1[[#This Row],[Indigo ID Number]],'Learning Paths'!$AE:$AE,'Learning Paths'!AI:AI)</f>
        <v>0.2</v>
      </c>
      <c r="H10" s="19">
        <f>LOOKUP(Table1[[#This Row],[Indigo ID Number]],'Learning Paths'!$AE:$AE,'Learning Paths'!AJ:AJ)</f>
        <v>0.2</v>
      </c>
      <c r="I10" s="19">
        <f>LOOKUP(Table1[[#This Row],[Indigo ID Number]],'Learning Paths'!$AE:$AE,'Learning Paths'!AK:AK)</f>
        <v>0.2</v>
      </c>
      <c r="J10" s="19">
        <f>LOOKUP(Table1[[#This Row],[Indigo ID Number]],'Learning Paths'!$AE:$AE,'Learning Paths'!AL:AL)</f>
        <v>0.2</v>
      </c>
      <c r="K10" s="19">
        <f>LOOKUP(Table1[[#This Row],[Indigo ID Number]],'Learning Paths'!$AE:$AE,'Learning Paths'!AM:AM)</f>
        <v>0.05</v>
      </c>
    </row>
    <row r="11" spans="1:11" ht="15.6" x14ac:dyDescent="0.3">
      <c r="A11" s="28"/>
      <c r="B11" t="s">
        <v>523</v>
      </c>
      <c r="C11" s="17" t="str">
        <f>LOOKUP(Table1[[#This Row],[Indigo ID Number]],'Learning Paths'!$AE:$AE,'Learning Paths'!AF:AF)</f>
        <v>Laboratory - TDS, Conductivity, and Turbidity</v>
      </c>
      <c r="D11" s="19" t="str">
        <f>LOOKUP(Table1[[#This Row],[Indigo ID Number]],'Learning Paths'!$AE:$AE,'Learning Paths'!AG:AG)</f>
        <v>25-07745-001</v>
      </c>
      <c r="E11" s="19" t="e">
        <f>LOOKUP(Table1[[#This Row],[Existing Approval No.]],'Learning Paths'!$AE:$AE,'Learning Paths'!AH:AH)</f>
        <v>#N/A</v>
      </c>
      <c r="F11" s="19">
        <f>LOOKUP(Table1[[#This Row],[Indigo ID Number]],'Learning Paths'!$AE:$AE,'Learning Paths'!AH:AH)</f>
        <v>0.2</v>
      </c>
      <c r="G11" s="19">
        <f>LOOKUP(Table1[[#This Row],[Indigo ID Number]],'Learning Paths'!$AE:$AE,'Learning Paths'!AI:AI)</f>
        <v>0.2</v>
      </c>
      <c r="H11" s="19">
        <f>LOOKUP(Table1[[#This Row],[Indigo ID Number]],'Learning Paths'!$AE:$AE,'Learning Paths'!AJ:AJ)</f>
        <v>0.2</v>
      </c>
      <c r="I11" s="19">
        <f>LOOKUP(Table1[[#This Row],[Indigo ID Number]],'Learning Paths'!$AE:$AE,'Learning Paths'!AK:AK)</f>
        <v>0.2</v>
      </c>
      <c r="J11" s="19">
        <f>LOOKUP(Table1[[#This Row],[Indigo ID Number]],'Learning Paths'!$AE:$AE,'Learning Paths'!AL:AL)</f>
        <v>0.2</v>
      </c>
      <c r="K11" s="19">
        <f>LOOKUP(Table1[[#This Row],[Indigo ID Number]],'Learning Paths'!$AE:$AE,'Learning Paths'!AM:AM)</f>
        <v>0</v>
      </c>
    </row>
    <row r="12" spans="1:11" ht="15.6" x14ac:dyDescent="0.3">
      <c r="A12" s="28"/>
      <c r="B12" t="s">
        <v>526</v>
      </c>
      <c r="C12" s="17" t="str">
        <f>LOOKUP(Table1[[#This Row],[Indigo ID Number]],'Learning Paths'!$AE:$AE,'Learning Paths'!AF:AF)</f>
        <v>Laboratory - Chlorine Residual by DPD</v>
      </c>
      <c r="D12" s="19" t="str">
        <f>LOOKUP(Table1[[#This Row],[Indigo ID Number]],'Learning Paths'!$AE:$AE,'Learning Paths'!AG:AG)</f>
        <v>25-07709-001</v>
      </c>
      <c r="E12" s="19" t="e">
        <f>LOOKUP(Table1[[#This Row],[Existing Approval No.]],'Learning Paths'!$AE:$AE,'Learning Paths'!AH:AH)</f>
        <v>#N/A</v>
      </c>
      <c r="F12" s="19">
        <f>LOOKUP(Table1[[#This Row],[Indigo ID Number]],'Learning Paths'!$AE:$AE,'Learning Paths'!AH:AH)</f>
        <v>0.05</v>
      </c>
      <c r="G12" s="19">
        <f>LOOKUP(Table1[[#This Row],[Indigo ID Number]],'Learning Paths'!$AE:$AE,'Learning Paths'!AI:AI)</f>
        <v>0.05</v>
      </c>
      <c r="H12" s="19">
        <f>LOOKUP(Table1[[#This Row],[Indigo ID Number]],'Learning Paths'!$AE:$AE,'Learning Paths'!AJ:AJ)</f>
        <v>0.05</v>
      </c>
      <c r="I12" s="19">
        <f>LOOKUP(Table1[[#This Row],[Indigo ID Number]],'Learning Paths'!$AE:$AE,'Learning Paths'!AK:AK)</f>
        <v>0.05</v>
      </c>
      <c r="J12" s="19">
        <f>LOOKUP(Table1[[#This Row],[Indigo ID Number]],'Learning Paths'!$AE:$AE,'Learning Paths'!AL:AL)</f>
        <v>0.05</v>
      </c>
      <c r="K12" s="19">
        <f>LOOKUP(Table1[[#This Row],[Indigo ID Number]],'Learning Paths'!$AE:$AE,'Learning Paths'!AM:AM)</f>
        <v>0</v>
      </c>
    </row>
    <row r="13" spans="1:11" ht="15.6" x14ac:dyDescent="0.3">
      <c r="A13" s="28"/>
      <c r="B13" t="s">
        <v>529</v>
      </c>
      <c r="C13" s="17" t="str">
        <f>LOOKUP(Table1[[#This Row],[Indigo ID Number]],'Learning Paths'!$AE:$AE,'Learning Paths'!AF:AF)</f>
        <v>Laboratory - Jar Testing</v>
      </c>
      <c r="D13" s="19" t="str">
        <f>LOOKUP(Table1[[#This Row],[Indigo ID Number]],'Learning Paths'!$AE:$AE,'Learning Paths'!AG:AG)</f>
        <v>25-07639-001</v>
      </c>
      <c r="E13" s="19" t="e">
        <f>LOOKUP(Table1[[#This Row],[Existing Approval No.]],'Learning Paths'!$AE:$AE,'Learning Paths'!AH:AH)</f>
        <v>#N/A</v>
      </c>
      <c r="F13" s="19">
        <f>LOOKUP(Table1[[#This Row],[Indigo ID Number]],'Learning Paths'!$AE:$AE,'Learning Paths'!AH:AH)</f>
        <v>0.1</v>
      </c>
      <c r="G13" s="19">
        <f>LOOKUP(Table1[[#This Row],[Indigo ID Number]],'Learning Paths'!$AE:$AE,'Learning Paths'!AI:AI)</f>
        <v>0.1</v>
      </c>
      <c r="H13" s="19">
        <f>LOOKUP(Table1[[#This Row],[Indigo ID Number]],'Learning Paths'!$AE:$AE,'Learning Paths'!AJ:AJ)</f>
        <v>0.1</v>
      </c>
      <c r="I13" s="19">
        <f>LOOKUP(Table1[[#This Row],[Indigo ID Number]],'Learning Paths'!$AE:$AE,'Learning Paths'!AK:AK)</f>
        <v>0.1</v>
      </c>
      <c r="J13" s="19">
        <f>LOOKUP(Table1[[#This Row],[Indigo ID Number]],'Learning Paths'!$AE:$AE,'Learning Paths'!AL:AL)</f>
        <v>0</v>
      </c>
      <c r="K13" s="19">
        <f>LOOKUP(Table1[[#This Row],[Indigo ID Number]],'Learning Paths'!$AE:$AE,'Learning Paths'!AM:AM)</f>
        <v>0</v>
      </c>
    </row>
    <row r="14" spans="1:11" ht="15.6" x14ac:dyDescent="0.3">
      <c r="A14" s="28"/>
      <c r="B14" t="s">
        <v>174</v>
      </c>
      <c r="C14" s="17" t="str">
        <f>LOOKUP(Table1[[#This Row],[Indigo ID Number]],'Learning Paths'!$AE:$AE,'Learning Paths'!AF:AF)</f>
        <v>Math Strategies for Success</v>
      </c>
      <c r="D14" s="19" t="str">
        <f>LOOKUP(Table1[[#This Row],[Indigo ID Number]],'Learning Paths'!$AE:$AE,'Learning Paths'!AG:AG)</f>
        <v>25-05983-002</v>
      </c>
      <c r="E14" s="19" t="e">
        <f>LOOKUP(Table1[[#This Row],[Existing Approval No.]],'Learning Paths'!$AE:$AE,'Learning Paths'!AH:AH)</f>
        <v>#N/A</v>
      </c>
      <c r="F14" s="19">
        <f>LOOKUP(Table1[[#This Row],[Indigo ID Number]],'Learning Paths'!$AE:$AE,'Learning Paths'!AH:AH)</f>
        <v>0.1</v>
      </c>
      <c r="G14" s="19">
        <f>LOOKUP(Table1[[#This Row],[Indigo ID Number]],'Learning Paths'!$AE:$AE,'Learning Paths'!AI:AI)</f>
        <v>0.1</v>
      </c>
      <c r="H14" s="19">
        <f>LOOKUP(Table1[[#This Row],[Indigo ID Number]],'Learning Paths'!$AE:$AE,'Learning Paths'!AJ:AJ)</f>
        <v>0.1</v>
      </c>
      <c r="I14" s="19">
        <f>LOOKUP(Table1[[#This Row],[Indigo ID Number]],'Learning Paths'!$AE:$AE,'Learning Paths'!AK:AK)</f>
        <v>0.1</v>
      </c>
      <c r="J14" s="19">
        <f>LOOKUP(Table1[[#This Row],[Indigo ID Number]],'Learning Paths'!$AE:$AE,'Learning Paths'!AL:AL)</f>
        <v>0.1</v>
      </c>
      <c r="K14" s="19">
        <f>LOOKUP(Table1[[#This Row],[Indigo ID Number]],'Learning Paths'!$AE:$AE,'Learning Paths'!AM:AM)</f>
        <v>0.1</v>
      </c>
    </row>
    <row r="15" spans="1:11" ht="15.6" x14ac:dyDescent="0.3">
      <c r="A15" s="28"/>
      <c r="B15" t="s">
        <v>51</v>
      </c>
      <c r="C15" s="17" t="str">
        <f>LOOKUP(Table1[[#This Row],[Indigo ID Number]],'Learning Paths'!$AE:$AE,'Learning Paths'!AF:AF)</f>
        <v>Unit Conversions</v>
      </c>
      <c r="D15" s="19" t="str">
        <f>LOOKUP(Table1[[#This Row],[Indigo ID Number]],'Learning Paths'!$AE:$AE,'Learning Paths'!AG:AG)</f>
        <v>25-05984-002</v>
      </c>
      <c r="E15" s="19" t="e">
        <f>LOOKUP(Table1[[#This Row],[Existing Approval No.]],'Learning Paths'!$AE:$AE,'Learning Paths'!AH:AH)</f>
        <v>#N/A</v>
      </c>
      <c r="F15" s="19">
        <f>LOOKUP(Table1[[#This Row],[Indigo ID Number]],'Learning Paths'!$AE:$AE,'Learning Paths'!AH:AH)</f>
        <v>0.05</v>
      </c>
      <c r="G15" s="19">
        <f>LOOKUP(Table1[[#This Row],[Indigo ID Number]],'Learning Paths'!$AE:$AE,'Learning Paths'!AI:AI)</f>
        <v>0.05</v>
      </c>
      <c r="H15" s="19">
        <f>LOOKUP(Table1[[#This Row],[Indigo ID Number]],'Learning Paths'!$AE:$AE,'Learning Paths'!AJ:AJ)</f>
        <v>0.05</v>
      </c>
      <c r="I15" s="19">
        <f>LOOKUP(Table1[[#This Row],[Indigo ID Number]],'Learning Paths'!$AE:$AE,'Learning Paths'!AK:AK)</f>
        <v>0.05</v>
      </c>
      <c r="J15" s="19">
        <f>LOOKUP(Table1[[#This Row],[Indigo ID Number]],'Learning Paths'!$AE:$AE,'Learning Paths'!AL:AL)</f>
        <v>0.05</v>
      </c>
      <c r="K15" s="19">
        <f>LOOKUP(Table1[[#This Row],[Indigo ID Number]],'Learning Paths'!$AE:$AE,'Learning Paths'!AM:AM)</f>
        <v>0.05</v>
      </c>
    </row>
    <row r="16" spans="1:11" ht="15.6" x14ac:dyDescent="0.3">
      <c r="B16" t="s">
        <v>52</v>
      </c>
      <c r="C16" s="17" t="str">
        <f>LOOKUP(Table1[[#This Row],[Indigo ID Number]],'Learning Paths'!$AE:$AE,'Learning Paths'!AF:AF)</f>
        <v>Geometry</v>
      </c>
      <c r="D16" s="19" t="str">
        <f>LOOKUP(Table1[[#This Row],[Indigo ID Number]],'Learning Paths'!$AE:$AE,'Learning Paths'!AG:AG)</f>
        <v>25-05985-002</v>
      </c>
      <c r="E16" s="19" t="e">
        <f>LOOKUP(Table1[[#This Row],[Existing Approval No.]],'Learning Paths'!$AE:$AE,'Learning Paths'!AH:AH)</f>
        <v>#N/A</v>
      </c>
      <c r="F16" s="19">
        <f>LOOKUP(Table1[[#This Row],[Indigo ID Number]],'Learning Paths'!$AE:$AE,'Learning Paths'!AH:AH)</f>
        <v>0.05</v>
      </c>
      <c r="G16" s="19">
        <f>LOOKUP(Table1[[#This Row],[Indigo ID Number]],'Learning Paths'!$AE:$AE,'Learning Paths'!AI:AI)</f>
        <v>0.05</v>
      </c>
      <c r="H16" s="19">
        <f>LOOKUP(Table1[[#This Row],[Indigo ID Number]],'Learning Paths'!$AE:$AE,'Learning Paths'!AJ:AJ)</f>
        <v>0.05</v>
      </c>
      <c r="I16" s="19">
        <f>LOOKUP(Table1[[#This Row],[Indigo ID Number]],'Learning Paths'!$AE:$AE,'Learning Paths'!AK:AK)</f>
        <v>0.05</v>
      </c>
      <c r="J16" s="19">
        <f>LOOKUP(Table1[[#This Row],[Indigo ID Number]],'Learning Paths'!$AE:$AE,'Learning Paths'!AL:AL)</f>
        <v>0.05</v>
      </c>
      <c r="K16" s="19">
        <f>LOOKUP(Table1[[#This Row],[Indigo ID Number]],'Learning Paths'!$AE:$AE,'Learning Paths'!AM:AM)</f>
        <v>0.05</v>
      </c>
    </row>
    <row r="17" spans="1:11" ht="15.6" x14ac:dyDescent="0.3">
      <c r="A17" s="28"/>
      <c r="B17" t="s">
        <v>236</v>
      </c>
      <c r="C17" s="17" t="str">
        <f>LOOKUP(Table1[[#This Row],[Indigo ID Number]],'Learning Paths'!$AE:$AE,'Learning Paths'!AF:AF)</f>
        <v>Chemical Dosing</v>
      </c>
      <c r="D17" s="19" t="str">
        <f>LOOKUP(Table1[[#This Row],[Indigo ID Number]],'Learning Paths'!$AE:$AE,'Learning Paths'!AG:AG)</f>
        <v>25-05986-002</v>
      </c>
      <c r="E17" s="19" t="e">
        <f>LOOKUP(Table1[[#This Row],[Existing Approval No.]],'Learning Paths'!$AE:$AE,'Learning Paths'!AH:AH)</f>
        <v>#N/A</v>
      </c>
      <c r="F17" s="19">
        <f>LOOKUP(Table1[[#This Row],[Indigo ID Number]],'Learning Paths'!$AE:$AE,'Learning Paths'!AH:AH)</f>
        <v>0.05</v>
      </c>
      <c r="G17" s="19">
        <f>LOOKUP(Table1[[#This Row],[Indigo ID Number]],'Learning Paths'!$AE:$AE,'Learning Paths'!AI:AI)</f>
        <v>0.05</v>
      </c>
      <c r="H17" s="19">
        <f>LOOKUP(Table1[[#This Row],[Indigo ID Number]],'Learning Paths'!$AE:$AE,'Learning Paths'!AJ:AJ)</f>
        <v>0.05</v>
      </c>
      <c r="I17" s="19">
        <f>LOOKUP(Table1[[#This Row],[Indigo ID Number]],'Learning Paths'!$AE:$AE,'Learning Paths'!AK:AK)</f>
        <v>0.05</v>
      </c>
      <c r="J17" s="19">
        <f>LOOKUP(Table1[[#This Row],[Indigo ID Number]],'Learning Paths'!$AE:$AE,'Learning Paths'!AL:AL)</f>
        <v>0.05</v>
      </c>
      <c r="K17" s="19">
        <f>LOOKUP(Table1[[#This Row],[Indigo ID Number]],'Learning Paths'!$AE:$AE,'Learning Paths'!AM:AM)</f>
        <v>0.05</v>
      </c>
    </row>
    <row r="18" spans="1:11" ht="15.6" x14ac:dyDescent="0.3">
      <c r="A18" s="28"/>
      <c r="B18" t="s">
        <v>232</v>
      </c>
      <c r="C18" s="17" t="str">
        <f>LOOKUP(Table1[[#This Row],[Indigo ID Number]],'Learning Paths'!$AE:$AE,'Learning Paths'!AF:AF)</f>
        <v>Velocity and Hydraulic Detention Time</v>
      </c>
      <c r="D18" s="19" t="str">
        <f>LOOKUP(Table1[[#This Row],[Indigo ID Number]],'Learning Paths'!$AE:$AE,'Learning Paths'!AG:AG)</f>
        <v>25-05987-001</v>
      </c>
      <c r="E18" s="19" t="e">
        <f>LOOKUP(Table1[[#This Row],[Existing Approval No.]],'Learning Paths'!$AE:$AE,'Learning Paths'!AH:AH)</f>
        <v>#N/A</v>
      </c>
      <c r="F18" s="19">
        <f>LOOKUP(Table1[[#This Row],[Indigo ID Number]],'Learning Paths'!$AE:$AE,'Learning Paths'!AH:AH)</f>
        <v>0.1</v>
      </c>
      <c r="G18" s="19">
        <f>LOOKUP(Table1[[#This Row],[Indigo ID Number]],'Learning Paths'!$AE:$AE,'Learning Paths'!AI:AI)</f>
        <v>0.1</v>
      </c>
      <c r="H18" s="19">
        <f>LOOKUP(Table1[[#This Row],[Indigo ID Number]],'Learning Paths'!$AE:$AE,'Learning Paths'!AJ:AJ)</f>
        <v>0.1</v>
      </c>
      <c r="I18" s="19">
        <f>LOOKUP(Table1[[#This Row],[Indigo ID Number]],'Learning Paths'!$AE:$AE,'Learning Paths'!AK:AK)</f>
        <v>0.1</v>
      </c>
      <c r="J18" s="19">
        <f>LOOKUP(Table1[[#This Row],[Indigo ID Number]],'Learning Paths'!$AE:$AE,'Learning Paths'!AL:AL)</f>
        <v>0.1</v>
      </c>
      <c r="K18" s="19">
        <f>LOOKUP(Table1[[#This Row],[Indigo ID Number]],'Learning Paths'!$AE:$AE,'Learning Paths'!AM:AM)</f>
        <v>0.1</v>
      </c>
    </row>
    <row r="19" spans="1:11" ht="15.6" x14ac:dyDescent="0.3">
      <c r="B19" t="s">
        <v>63</v>
      </c>
      <c r="C19" s="17" t="str">
        <f>LOOKUP(Table1[[#This Row],[Indigo ID Number]],'Learning Paths'!$AE:$AE,'Learning Paths'!AF:AF)</f>
        <v>Trenching and Shoring</v>
      </c>
      <c r="D19" s="19" t="str">
        <f>LOOKUP(Table1[[#This Row],[Indigo ID Number]],'Learning Paths'!$AE:$AE,'Learning Paths'!AG:AG)</f>
        <v>25-05998-001</v>
      </c>
      <c r="E19" s="19" t="e">
        <f>LOOKUP(Table1[[#This Row],[Existing Approval No.]],'Learning Paths'!$AE:$AE,'Learning Paths'!AH:AH)</f>
        <v>#N/A</v>
      </c>
      <c r="F19" s="19">
        <f>LOOKUP(Table1[[#This Row],[Indigo ID Number]],'Learning Paths'!$AE:$AE,'Learning Paths'!AH:AH)</f>
        <v>0.25</v>
      </c>
      <c r="G19" s="19">
        <f>LOOKUP(Table1[[#This Row],[Indigo ID Number]],'Learning Paths'!$AE:$AE,'Learning Paths'!AI:AI)</f>
        <v>0</v>
      </c>
      <c r="H19" s="19">
        <f>LOOKUP(Table1[[#This Row],[Indigo ID Number]],'Learning Paths'!$AE:$AE,'Learning Paths'!AJ:AJ)</f>
        <v>0</v>
      </c>
      <c r="I19" s="19">
        <f>LOOKUP(Table1[[#This Row],[Indigo ID Number]],'Learning Paths'!$AE:$AE,'Learning Paths'!AK:AK)</f>
        <v>0</v>
      </c>
      <c r="J19" s="19">
        <f>LOOKUP(Table1[[#This Row],[Indigo ID Number]],'Learning Paths'!$AE:$AE,'Learning Paths'!AL:AL)</f>
        <v>0.25</v>
      </c>
      <c r="K19" s="19">
        <f>LOOKUP(Table1[[#This Row],[Indigo ID Number]],'Learning Paths'!$AE:$AE,'Learning Paths'!AM:AM)</f>
        <v>0.25</v>
      </c>
    </row>
    <row r="20" spans="1:11" ht="15.6" x14ac:dyDescent="0.3">
      <c r="A20" s="28"/>
      <c r="B20" t="s">
        <v>64</v>
      </c>
      <c r="C20" s="17" t="str">
        <f>LOOKUP(Table1[[#This Row],[Indigo ID Number]],'Learning Paths'!$AE:$AE,'Learning Paths'!AF:AF)</f>
        <v>Confined Space Entry</v>
      </c>
      <c r="D20" s="19" t="str">
        <f>LOOKUP(Table1[[#This Row],[Indigo ID Number]],'Learning Paths'!$AE:$AE,'Learning Paths'!AG:AG)</f>
        <v>25-05999-001</v>
      </c>
      <c r="E20" s="19" t="e">
        <f>LOOKUP(Table1[[#This Row],[Existing Approval No.]],'Learning Paths'!$AE:$AE,'Learning Paths'!AH:AH)</f>
        <v>#N/A</v>
      </c>
      <c r="F20" s="19">
        <f>LOOKUP(Table1[[#This Row],[Indigo ID Number]],'Learning Paths'!$AE:$AE,'Learning Paths'!AH:AH)</f>
        <v>0.15</v>
      </c>
      <c r="G20" s="19">
        <f>LOOKUP(Table1[[#This Row],[Indigo ID Number]],'Learning Paths'!$AE:$AE,'Learning Paths'!AI:AI)</f>
        <v>0.15</v>
      </c>
      <c r="H20" s="19">
        <f>LOOKUP(Table1[[#This Row],[Indigo ID Number]],'Learning Paths'!$AE:$AE,'Learning Paths'!AJ:AJ)</f>
        <v>0.15</v>
      </c>
      <c r="I20" s="19">
        <f>LOOKUP(Table1[[#This Row],[Indigo ID Number]],'Learning Paths'!$AE:$AE,'Learning Paths'!AK:AK)</f>
        <v>0.15</v>
      </c>
      <c r="J20" s="19">
        <f>LOOKUP(Table1[[#This Row],[Indigo ID Number]],'Learning Paths'!$AE:$AE,'Learning Paths'!AL:AL)</f>
        <v>0.15</v>
      </c>
      <c r="K20" s="19">
        <f>LOOKUP(Table1[[#This Row],[Indigo ID Number]],'Learning Paths'!$AE:$AE,'Learning Paths'!AM:AM)</f>
        <v>0.15</v>
      </c>
    </row>
    <row r="21" spans="1:11" ht="15.6" x14ac:dyDescent="0.3">
      <c r="B21" t="s">
        <v>90</v>
      </c>
      <c r="C21" s="17" t="str">
        <f>LOOKUP(Table1[[#This Row],[Indigo ID Number]],'Learning Paths'!$AE:$AE,'Learning Paths'!AF:AF)</f>
        <v>Introduction to Small Water Systems</v>
      </c>
      <c r="D21" s="19" t="str">
        <f>LOOKUP(Table1[[#This Row],[Indigo ID Number]],'Learning Paths'!$AE:$AE,'Learning Paths'!AG:AG)</f>
        <v>25-06034-002</v>
      </c>
      <c r="E21" s="19" t="e">
        <f>LOOKUP(Table1[[#This Row],[Existing Approval No.]],'Learning Paths'!$AE:$AE,'Learning Paths'!AH:AH)</f>
        <v>#N/A</v>
      </c>
      <c r="F21" s="19">
        <f>LOOKUP(Table1[[#This Row],[Indigo ID Number]],'Learning Paths'!$AE:$AE,'Learning Paths'!AH:AH)</f>
        <v>0.1</v>
      </c>
      <c r="G21" s="19">
        <f>LOOKUP(Table1[[#This Row],[Indigo ID Number]],'Learning Paths'!$AE:$AE,'Learning Paths'!AI:AI)</f>
        <v>0.1</v>
      </c>
      <c r="H21" s="19">
        <f>LOOKUP(Table1[[#This Row],[Indigo ID Number]],'Learning Paths'!$AE:$AE,'Learning Paths'!AJ:AJ)</f>
        <v>0</v>
      </c>
      <c r="I21" s="19">
        <f>LOOKUP(Table1[[#This Row],[Indigo ID Number]],'Learning Paths'!$AE:$AE,'Learning Paths'!AK:AK)</f>
        <v>0</v>
      </c>
      <c r="J21" s="19">
        <f>LOOKUP(Table1[[#This Row],[Indigo ID Number]],'Learning Paths'!$AE:$AE,'Learning Paths'!AL:AL)</f>
        <v>0.1</v>
      </c>
      <c r="K21" s="19">
        <f>LOOKUP(Table1[[#This Row],[Indigo ID Number]],'Learning Paths'!$AE:$AE,'Learning Paths'!AM:AM)</f>
        <v>0</v>
      </c>
    </row>
    <row r="22" spans="1:11" ht="15.6" x14ac:dyDescent="0.3">
      <c r="A22" s="28"/>
      <c r="B22" t="s">
        <v>91</v>
      </c>
      <c r="C22" s="17" t="str">
        <f>LOOKUP(Table1[[#This Row],[Indigo ID Number]],'Learning Paths'!$AE:$AE,'Learning Paths'!AF:AF)</f>
        <v>Water Sources Part 1</v>
      </c>
      <c r="D22" s="19" t="str">
        <f>LOOKUP(Table1[[#This Row],[Indigo ID Number]],'Learning Paths'!$AE:$AE,'Learning Paths'!AG:AG)</f>
        <v>25-06035-001</v>
      </c>
      <c r="E22" s="19" t="e">
        <f>LOOKUP(Table1[[#This Row],[Existing Approval No.]],'Learning Paths'!$AE:$AE,'Learning Paths'!AH:AH)</f>
        <v>#N/A</v>
      </c>
      <c r="F22" s="19">
        <f>LOOKUP(Table1[[#This Row],[Indigo ID Number]],'Learning Paths'!$AE:$AE,'Learning Paths'!AH:AH)</f>
        <v>0.15</v>
      </c>
      <c r="G22" s="19">
        <f>LOOKUP(Table1[[#This Row],[Indigo ID Number]],'Learning Paths'!$AE:$AE,'Learning Paths'!AI:AI)</f>
        <v>0.15</v>
      </c>
      <c r="H22" s="19">
        <f>LOOKUP(Table1[[#This Row],[Indigo ID Number]],'Learning Paths'!$AE:$AE,'Learning Paths'!AJ:AJ)</f>
        <v>0</v>
      </c>
      <c r="I22" s="19">
        <f>LOOKUP(Table1[[#This Row],[Indigo ID Number]],'Learning Paths'!$AE:$AE,'Learning Paths'!AK:AK)</f>
        <v>0</v>
      </c>
      <c r="J22" s="19">
        <f>LOOKUP(Table1[[#This Row],[Indigo ID Number]],'Learning Paths'!$AE:$AE,'Learning Paths'!AL:AL)</f>
        <v>0.15</v>
      </c>
      <c r="K22" s="19">
        <f>LOOKUP(Table1[[#This Row],[Indigo ID Number]],'Learning Paths'!$AE:$AE,'Learning Paths'!AM:AM)</f>
        <v>0</v>
      </c>
    </row>
    <row r="23" spans="1:11" ht="15.6" x14ac:dyDescent="0.3">
      <c r="A23" s="28"/>
      <c r="B23" t="s">
        <v>92</v>
      </c>
      <c r="C23" s="17" t="str">
        <f>LOOKUP(Table1[[#This Row],[Indigo ID Number]],'Learning Paths'!$AE:$AE,'Learning Paths'!AF:AF)</f>
        <v>Water Sources Part 2</v>
      </c>
      <c r="D23" s="19" t="str">
        <f>LOOKUP(Table1[[#This Row],[Indigo ID Number]],'Learning Paths'!$AE:$AE,'Learning Paths'!AG:AG)</f>
        <v>25-06036-001</v>
      </c>
      <c r="E23" s="19" t="e">
        <f>LOOKUP(Table1[[#This Row],[Existing Approval No.]],'Learning Paths'!$AE:$AE,'Learning Paths'!AH:AH)</f>
        <v>#N/A</v>
      </c>
      <c r="F23" s="19">
        <f>LOOKUP(Table1[[#This Row],[Indigo ID Number]],'Learning Paths'!$AE:$AE,'Learning Paths'!AH:AH)</f>
        <v>0.1</v>
      </c>
      <c r="G23" s="19">
        <f>LOOKUP(Table1[[#This Row],[Indigo ID Number]],'Learning Paths'!$AE:$AE,'Learning Paths'!AI:AI)</f>
        <v>0.1</v>
      </c>
      <c r="H23" s="19">
        <f>LOOKUP(Table1[[#This Row],[Indigo ID Number]],'Learning Paths'!$AE:$AE,'Learning Paths'!AJ:AJ)</f>
        <v>0</v>
      </c>
      <c r="I23" s="19">
        <f>LOOKUP(Table1[[#This Row],[Indigo ID Number]],'Learning Paths'!$AE:$AE,'Learning Paths'!AK:AK)</f>
        <v>0.1</v>
      </c>
      <c r="J23" s="19">
        <f>LOOKUP(Table1[[#This Row],[Indigo ID Number]],'Learning Paths'!$AE:$AE,'Learning Paths'!AL:AL)</f>
        <v>0.1</v>
      </c>
      <c r="K23" s="19">
        <f>LOOKUP(Table1[[#This Row],[Indigo ID Number]],'Learning Paths'!$AE:$AE,'Learning Paths'!AM:AM)</f>
        <v>0</v>
      </c>
    </row>
    <row r="24" spans="1:11" ht="15.6" x14ac:dyDescent="0.3">
      <c r="A24" s="28"/>
      <c r="B24" t="s">
        <v>93</v>
      </c>
      <c r="C24" s="17" t="str">
        <f>LOOKUP(Table1[[#This Row],[Indigo ID Number]],'Learning Paths'!$AE:$AE,'Learning Paths'!AF:AF)</f>
        <v>Drinking Water Treatment Part 1</v>
      </c>
      <c r="D24" s="19" t="str">
        <f>LOOKUP(Table1[[#This Row],[Indigo ID Number]],'Learning Paths'!$AE:$AE,'Learning Paths'!AG:AG)</f>
        <v>25-06037-001</v>
      </c>
      <c r="E24" s="19" t="e">
        <f>LOOKUP(Table1[[#This Row],[Existing Approval No.]],'Learning Paths'!$AE:$AE,'Learning Paths'!AH:AH)</f>
        <v>#N/A</v>
      </c>
      <c r="F24" s="19">
        <f>LOOKUP(Table1[[#This Row],[Indigo ID Number]],'Learning Paths'!$AE:$AE,'Learning Paths'!AH:AH)</f>
        <v>0.25</v>
      </c>
      <c r="G24" s="19">
        <f>LOOKUP(Table1[[#This Row],[Indigo ID Number]],'Learning Paths'!$AE:$AE,'Learning Paths'!AI:AI)</f>
        <v>0.25</v>
      </c>
      <c r="H24" s="19">
        <f>LOOKUP(Table1[[#This Row],[Indigo ID Number]],'Learning Paths'!$AE:$AE,'Learning Paths'!AJ:AJ)</f>
        <v>0</v>
      </c>
      <c r="I24" s="19">
        <f>LOOKUP(Table1[[#This Row],[Indigo ID Number]],'Learning Paths'!$AE:$AE,'Learning Paths'!AK:AK)</f>
        <v>0</v>
      </c>
      <c r="J24" s="19">
        <f>LOOKUP(Table1[[#This Row],[Indigo ID Number]],'Learning Paths'!$AE:$AE,'Learning Paths'!AL:AL)</f>
        <v>0</v>
      </c>
      <c r="K24" s="19">
        <f>LOOKUP(Table1[[#This Row],[Indigo ID Number]],'Learning Paths'!$AE:$AE,'Learning Paths'!AM:AM)</f>
        <v>0</v>
      </c>
    </row>
    <row r="25" spans="1:11" ht="15.6" x14ac:dyDescent="0.3">
      <c r="A25" s="28"/>
      <c r="B25" t="s">
        <v>94</v>
      </c>
      <c r="C25" s="17" t="str">
        <f>LOOKUP(Table1[[#This Row],[Indigo ID Number]],'Learning Paths'!$AE:$AE,'Learning Paths'!AF:AF)</f>
        <v>Water Treatment Part 2 (Disinfection, Water Focus)</v>
      </c>
      <c r="D25" s="19" t="str">
        <f>LOOKUP(Table1[[#This Row],[Indigo ID Number]],'Learning Paths'!$AE:$AE,'Learning Paths'!AG:AG)</f>
        <v>25-06038-001</v>
      </c>
      <c r="E25" s="19" t="e">
        <f>LOOKUP(Table1[[#This Row],[Existing Approval No.]],'Learning Paths'!$AE:$AE,'Learning Paths'!AH:AH)</f>
        <v>#N/A</v>
      </c>
      <c r="F25" s="19">
        <f>LOOKUP(Table1[[#This Row],[Indigo ID Number]],'Learning Paths'!$AE:$AE,'Learning Paths'!AH:AH)</f>
        <v>0.25</v>
      </c>
      <c r="G25" s="19">
        <f>LOOKUP(Table1[[#This Row],[Indigo ID Number]],'Learning Paths'!$AE:$AE,'Learning Paths'!AI:AI)</f>
        <v>0.25</v>
      </c>
      <c r="H25" s="19">
        <f>LOOKUP(Table1[[#This Row],[Indigo ID Number]],'Learning Paths'!$AE:$AE,'Learning Paths'!AJ:AJ)</f>
        <v>0.25</v>
      </c>
      <c r="I25" s="19">
        <f>LOOKUP(Table1[[#This Row],[Indigo ID Number]],'Learning Paths'!$AE:$AE,'Learning Paths'!AK:AK)</f>
        <v>0.25</v>
      </c>
      <c r="J25" s="19">
        <f>LOOKUP(Table1[[#This Row],[Indigo ID Number]],'Learning Paths'!$AE:$AE,'Learning Paths'!AL:AL)</f>
        <v>0.25</v>
      </c>
      <c r="K25" s="19">
        <f>LOOKUP(Table1[[#This Row],[Indigo ID Number]],'Learning Paths'!$AE:$AE,'Learning Paths'!AM:AM)</f>
        <v>0</v>
      </c>
    </row>
    <row r="26" spans="1:11" ht="15.6" x14ac:dyDescent="0.3">
      <c r="A26" s="28"/>
      <c r="B26" t="s">
        <v>95</v>
      </c>
      <c r="C26" s="17" t="str">
        <f>LOOKUP(Table1[[#This Row],[Indigo ID Number]],'Learning Paths'!$AE:$AE,'Learning Paths'!AF:AF)</f>
        <v>Intro to Distribution Systems</v>
      </c>
      <c r="D26" s="19" t="str">
        <f>LOOKUP(Table1[[#This Row],[Indigo ID Number]],'Learning Paths'!$AE:$AE,'Learning Paths'!AG:AG)</f>
        <v>25-06696-001</v>
      </c>
      <c r="E26" s="19" t="e">
        <f>LOOKUP(Table1[[#This Row],[Existing Approval No.]],'Learning Paths'!$AE:$AE,'Learning Paths'!AH:AH)</f>
        <v>#N/A</v>
      </c>
      <c r="F26" s="19">
        <f>LOOKUP(Table1[[#This Row],[Indigo ID Number]],'Learning Paths'!$AE:$AE,'Learning Paths'!AH:AH)</f>
        <v>0.2</v>
      </c>
      <c r="G26" s="19">
        <f>LOOKUP(Table1[[#This Row],[Indigo ID Number]],'Learning Paths'!$AE:$AE,'Learning Paths'!AI:AI)</f>
        <v>0.1</v>
      </c>
      <c r="H26" s="19">
        <f>LOOKUP(Table1[[#This Row],[Indigo ID Number]],'Learning Paths'!$AE:$AE,'Learning Paths'!AJ:AJ)</f>
        <v>0.1</v>
      </c>
      <c r="I26" s="19">
        <f>LOOKUP(Table1[[#This Row],[Indigo ID Number]],'Learning Paths'!$AE:$AE,'Learning Paths'!AK:AK)</f>
        <v>0.1</v>
      </c>
      <c r="J26" s="19">
        <f>LOOKUP(Table1[[#This Row],[Indigo ID Number]],'Learning Paths'!$AE:$AE,'Learning Paths'!AL:AL)</f>
        <v>0.2</v>
      </c>
      <c r="K26" s="19">
        <f>LOOKUP(Table1[[#This Row],[Indigo ID Number]],'Learning Paths'!$AE:$AE,'Learning Paths'!AM:AM)</f>
        <v>0.1</v>
      </c>
    </row>
    <row r="27" spans="1:11" ht="15.6" x14ac:dyDescent="0.3">
      <c r="A27" s="28"/>
      <c r="B27" t="s">
        <v>96</v>
      </c>
      <c r="C27" s="17" t="str">
        <f>LOOKUP(Table1[[#This Row],[Indigo ID Number]],'Learning Paths'!$AE:$AE,'Learning Paths'!AF:AF)</f>
        <v>MRT Drinking Water Regulatory Course</v>
      </c>
      <c r="D27" s="19" t="str">
        <f>LOOKUP(Table1[[#This Row],[Indigo ID Number]],'Learning Paths'!$AE:$AE,'Learning Paths'!AG:AG)</f>
        <v>25-06743-002</v>
      </c>
      <c r="E27" s="19" t="e">
        <f>LOOKUP(Table1[[#This Row],[Existing Approval No.]],'Learning Paths'!$AE:$AE,'Learning Paths'!AH:AH)</f>
        <v>#N/A</v>
      </c>
      <c r="F27" s="19">
        <f>LOOKUP(Table1[[#This Row],[Indigo ID Number]],'Learning Paths'!$AE:$AE,'Learning Paths'!AH:AH)</f>
        <v>0.3</v>
      </c>
      <c r="G27" s="19">
        <f>LOOKUP(Table1[[#This Row],[Indigo ID Number]],'Learning Paths'!$AE:$AE,'Learning Paths'!AI:AI)</f>
        <v>0.3</v>
      </c>
      <c r="H27" s="19">
        <f>LOOKUP(Table1[[#This Row],[Indigo ID Number]],'Learning Paths'!$AE:$AE,'Learning Paths'!AJ:AJ)</f>
        <v>0</v>
      </c>
      <c r="I27" s="19">
        <f>LOOKUP(Table1[[#This Row],[Indigo ID Number]],'Learning Paths'!$AE:$AE,'Learning Paths'!AK:AK)</f>
        <v>0</v>
      </c>
      <c r="J27" s="19">
        <f>LOOKUP(Table1[[#This Row],[Indigo ID Number]],'Learning Paths'!$AE:$AE,'Learning Paths'!AL:AL)</f>
        <v>0.3</v>
      </c>
      <c r="K27" s="19">
        <f>LOOKUP(Table1[[#This Row],[Indigo ID Number]],'Learning Paths'!$AE:$AE,'Learning Paths'!AM:AM)</f>
        <v>0</v>
      </c>
    </row>
    <row r="28" spans="1:11" ht="15.6" x14ac:dyDescent="0.3">
      <c r="A28" s="28"/>
      <c r="B28" t="str">
        <f>'2025NewCourses'!A83</f>
        <v>WATER-009</v>
      </c>
      <c r="C28" s="17" t="str">
        <f>'2025NewCourses'!C83</f>
        <v>Water Storage Tanks Part 1 - Components</v>
      </c>
      <c r="D28" s="19" t="str">
        <f>'2025NewCourses'!H83</f>
        <v>25-10976-001</v>
      </c>
      <c r="E28" s="19"/>
      <c r="F28" s="21">
        <f>'2025NewCourses'!L83</f>
        <v>0.1</v>
      </c>
      <c r="G28" s="21">
        <f>'2025NewCourses'!M83</f>
        <v>0.1</v>
      </c>
      <c r="H28" s="21">
        <f>'2025NewCourses'!N83</f>
        <v>0.1</v>
      </c>
      <c r="I28" s="21">
        <f>'2025NewCourses'!O83</f>
        <v>0.1</v>
      </c>
      <c r="J28" s="21">
        <f>'2025NewCourses'!P83</f>
        <v>0.1</v>
      </c>
      <c r="K28" s="21">
        <f>'2025NewCourses'!Q83</f>
        <v>0</v>
      </c>
    </row>
    <row r="29" spans="1:11" ht="15.6" x14ac:dyDescent="0.3">
      <c r="A29" s="28"/>
      <c r="B29" t="str">
        <f>'2025NewCourses'!A84</f>
        <v>WATER-010</v>
      </c>
      <c r="C29" s="17" t="str">
        <f>'2025NewCourses'!C84</f>
        <v>Water Storage Tanks Part 2 - Water Age and Quality</v>
      </c>
      <c r="D29" s="19" t="str">
        <f>'2025NewCourses'!H84</f>
        <v>25-10977-001</v>
      </c>
      <c r="E29" s="19" t="e">
        <f>LOOKUP(Table1[[#This Row],[Existing Approval No.]],'Learning Paths'!$AE:$AE,'Learning Paths'!AH:AH)</f>
        <v>#N/A</v>
      </c>
      <c r="F29" s="19">
        <f>'2025NewCourses'!L84</f>
        <v>0.1</v>
      </c>
      <c r="G29" s="19">
        <f>'2025NewCourses'!M84</f>
        <v>0.1</v>
      </c>
      <c r="H29" s="19">
        <f>'2025NewCourses'!N84</f>
        <v>0.1</v>
      </c>
      <c r="I29" s="19">
        <f>'2025NewCourses'!O84</f>
        <v>0.1</v>
      </c>
      <c r="J29" s="19">
        <f>'2025NewCourses'!P84</f>
        <v>0.1</v>
      </c>
      <c r="K29" s="19">
        <f>'2025NewCourses'!Q84</f>
        <v>0</v>
      </c>
    </row>
    <row r="30" spans="1:11" ht="15.6" x14ac:dyDescent="0.3">
      <c r="A30" s="28"/>
      <c r="B30" t="str">
        <f>'2025NewCourses'!A85</f>
        <v>WATER-011</v>
      </c>
      <c r="C30" s="17" t="str">
        <f>'2025NewCourses'!C85</f>
        <v>Water Storage Tanks Part 3 - Inspections</v>
      </c>
      <c r="D30" s="19" t="str">
        <f>'2025NewCourses'!H85</f>
        <v>25-10978-001</v>
      </c>
      <c r="E30" s="19" t="e">
        <f>LOOKUP(Table1[[#This Row],[Existing Approval No.]],'Learning Paths'!$AE:$AE,'Learning Paths'!AH:AH)</f>
        <v>#N/A</v>
      </c>
      <c r="F30" s="19">
        <f>'2025NewCourses'!L85</f>
        <v>0.1</v>
      </c>
      <c r="G30" s="19">
        <f>'2025NewCourses'!M85</f>
        <v>0.1</v>
      </c>
      <c r="H30" s="19">
        <f>'2025NewCourses'!N85</f>
        <v>0.1</v>
      </c>
      <c r="I30" s="19">
        <f>'2025NewCourses'!O85</f>
        <v>0.1</v>
      </c>
      <c r="J30" s="19">
        <f>'2025NewCourses'!P85</f>
        <v>0.1</v>
      </c>
      <c r="K30" s="19">
        <f>'2025NewCourses'!Q85</f>
        <v>0</v>
      </c>
    </row>
    <row r="31" spans="1:11" ht="15.6" x14ac:dyDescent="0.3">
      <c r="A31" s="28"/>
      <c r="C31" s="17"/>
      <c r="D31" s="19"/>
      <c r="E31" s="19"/>
      <c r="F31" s="19"/>
      <c r="G31" s="19"/>
      <c r="H31" s="19"/>
      <c r="I31" s="19"/>
      <c r="J31" s="19"/>
      <c r="K31" s="19"/>
    </row>
    <row r="32" spans="1:11" ht="15.6" x14ac:dyDescent="0.3">
      <c r="A32" s="28"/>
      <c r="C32" s="17"/>
      <c r="D32" s="19"/>
      <c r="E32" s="19"/>
      <c r="F32" s="21"/>
      <c r="G32" s="21"/>
      <c r="H32" s="21"/>
      <c r="I32" s="21"/>
      <c r="J32" s="21"/>
      <c r="K32" s="21"/>
    </row>
    <row r="33" spans="2:11" x14ac:dyDescent="0.3">
      <c r="F33" s="5"/>
      <c r="G33" s="5"/>
      <c r="H33" s="5"/>
      <c r="I33" s="5"/>
      <c r="J33" s="5"/>
      <c r="K33" s="5"/>
    </row>
    <row r="34" spans="2:11" ht="15.6" x14ac:dyDescent="0.3">
      <c r="B34" s="4" t="s">
        <v>330</v>
      </c>
      <c r="F34" s="2" t="s">
        <v>283</v>
      </c>
      <c r="G34" s="2" t="s">
        <v>22</v>
      </c>
      <c r="H34" s="2" t="s">
        <v>23</v>
      </c>
      <c r="I34" s="2" t="s">
        <v>26</v>
      </c>
      <c r="J34" s="2" t="s">
        <v>25</v>
      </c>
      <c r="K34" s="2" t="s">
        <v>24</v>
      </c>
    </row>
    <row r="35" spans="2:11" ht="15.6" x14ac:dyDescent="0.3">
      <c r="B35" s="4" t="s">
        <v>331</v>
      </c>
      <c r="D35" s="6" t="s">
        <v>284</v>
      </c>
      <c r="F35" s="3">
        <f t="shared" ref="F35:K35" si="0">SUM(F4:F32)</f>
        <v>3.8000000000000007</v>
      </c>
      <c r="G35" s="3">
        <f t="shared" si="0"/>
        <v>3.4500000000000006</v>
      </c>
      <c r="H35" s="3">
        <f t="shared" si="0"/>
        <v>2.4000000000000008</v>
      </c>
      <c r="I35" s="3">
        <f t="shared" si="0"/>
        <v>2.5000000000000009</v>
      </c>
      <c r="J35" s="3">
        <f t="shared" si="0"/>
        <v>3.4500000000000006</v>
      </c>
      <c r="K35" s="3">
        <f t="shared" si="0"/>
        <v>1.6000000000000003</v>
      </c>
    </row>
    <row r="36" spans="2:11" ht="15.6" x14ac:dyDescent="0.3">
      <c r="D36" s="27" t="s">
        <v>342</v>
      </c>
      <c r="E36" s="17"/>
      <c r="F36" s="26">
        <f t="shared" ref="F36:K36" si="1">F35*10*60</f>
        <v>2280.0000000000005</v>
      </c>
      <c r="G36" s="26">
        <f t="shared" si="1"/>
        <v>2070.0000000000005</v>
      </c>
      <c r="H36" s="26">
        <f t="shared" si="1"/>
        <v>1440.0000000000005</v>
      </c>
      <c r="I36" s="26">
        <f t="shared" si="1"/>
        <v>1500.0000000000005</v>
      </c>
      <c r="J36" s="26">
        <f t="shared" si="1"/>
        <v>2070.0000000000005</v>
      </c>
      <c r="K36" s="26">
        <f t="shared" si="1"/>
        <v>960.00000000000023</v>
      </c>
    </row>
    <row r="38" spans="2:11" x14ac:dyDescent="0.3">
      <c r="B38" s="691" t="s">
        <v>874</v>
      </c>
      <c r="C38" s="692"/>
      <c r="D38" s="692"/>
      <c r="E38" s="692"/>
      <c r="F38" s="692"/>
      <c r="G38" s="692"/>
      <c r="H38" s="692"/>
      <c r="I38" s="692"/>
      <c r="J38" s="692"/>
    </row>
    <row r="39" spans="2:11" ht="15.6" x14ac:dyDescent="0.3">
      <c r="B39" s="4" t="s">
        <v>875</v>
      </c>
      <c r="C39" s="17"/>
      <c r="D39" s="17"/>
      <c r="E39" s="17"/>
      <c r="F39" s="17"/>
      <c r="G39" s="17"/>
      <c r="H39" s="17"/>
      <c r="I39" s="17"/>
      <c r="J39" s="17"/>
    </row>
    <row r="41" spans="2:11" x14ac:dyDescent="0.3">
      <c r="D41" s="6" t="s">
        <v>285</v>
      </c>
      <c r="F41" s="7">
        <v>550</v>
      </c>
    </row>
  </sheetData>
  <sortState xmlns:xlrd2="http://schemas.microsoft.com/office/spreadsheetml/2017/richdata2" ref="N4:N27">
    <sortCondition ref="N4:N27"/>
  </sortState>
  <mergeCells count="1">
    <mergeCell ref="B38:J38"/>
  </mergeCells>
  <pageMargins left="0.7" right="0.7" top="0.75" bottom="0.75" header="0.3" footer="0.3"/>
  <pageSetup scale="81" orientation="landscape" horizontalDpi="4294967293"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T98"/>
  <sheetViews>
    <sheetView zoomScale="130" zoomScaleNormal="130" workbookViewId="0"/>
  </sheetViews>
  <sheetFormatPr defaultRowHeight="14.4" x14ac:dyDescent="0.3"/>
  <cols>
    <col min="1" max="1" width="31.6640625" customWidth="1"/>
    <col min="2" max="3" width="9.109375" style="49"/>
    <col min="4" max="4" width="9.109375" style="30"/>
    <col min="5" max="5" width="0" style="30" hidden="1" customWidth="1"/>
    <col min="6" max="6" width="9.109375" style="30"/>
    <col min="7" max="11" width="7.44140625" style="30" customWidth="1"/>
    <col min="13" max="13" width="0" style="1" hidden="1" customWidth="1"/>
    <col min="14" max="15" width="0" hidden="1" customWidth="1"/>
    <col min="17" max="17" width="32" customWidth="1"/>
  </cols>
  <sheetData>
    <row r="1" spans="1:14" s="9" customFormat="1" ht="18" x14ac:dyDescent="0.35">
      <c r="A1" s="9" t="s">
        <v>1186</v>
      </c>
      <c r="B1" s="48"/>
      <c r="C1" s="48"/>
      <c r="D1" s="29"/>
      <c r="E1" s="29"/>
      <c r="F1" s="29"/>
      <c r="G1" s="29"/>
      <c r="H1" s="29"/>
      <c r="I1" s="29"/>
      <c r="J1" s="29"/>
      <c r="K1" s="29"/>
      <c r="M1" s="47"/>
    </row>
    <row r="2" spans="1:14" ht="8.25" customHeight="1" x14ac:dyDescent="0.3"/>
    <row r="3" spans="1:14" ht="15" hidden="1" thickBot="1" x14ac:dyDescent="0.35">
      <c r="A3" s="33" t="s">
        <v>279</v>
      </c>
      <c r="B3" s="50" t="s">
        <v>482</v>
      </c>
      <c r="C3" s="50" t="s">
        <v>483</v>
      </c>
      <c r="D3" s="34" t="s">
        <v>322</v>
      </c>
      <c r="E3" s="34"/>
      <c r="F3" s="34"/>
      <c r="G3" s="34" t="s">
        <v>22</v>
      </c>
      <c r="H3" s="34" t="s">
        <v>23</v>
      </c>
      <c r="I3" s="34" t="s">
        <v>26</v>
      </c>
      <c r="J3" s="34" t="s">
        <v>25</v>
      </c>
      <c r="K3" s="34" t="s">
        <v>24</v>
      </c>
      <c r="M3" s="46" t="s">
        <v>1063</v>
      </c>
    </row>
    <row r="4" spans="1:14" ht="15" hidden="1" thickTop="1" x14ac:dyDescent="0.3">
      <c r="A4" t="s">
        <v>484</v>
      </c>
      <c r="B4" s="49">
        <v>0.32291666666666669</v>
      </c>
      <c r="C4" s="49">
        <v>0.33333333333333331</v>
      </c>
      <c r="D4" s="32">
        <f>C4-B4</f>
        <v>1.041666666666663E-2</v>
      </c>
      <c r="E4" s="32"/>
      <c r="F4" s="32"/>
    </row>
    <row r="5" spans="1:14" hidden="1" x14ac:dyDescent="0.3">
      <c r="A5" t="s">
        <v>0</v>
      </c>
      <c r="B5" s="49">
        <v>0.33333333333333331</v>
      </c>
      <c r="C5" s="49">
        <v>0.41666666666666669</v>
      </c>
      <c r="D5" s="32">
        <f t="shared" ref="D5:D11" si="0">C5-B5</f>
        <v>8.333333333333337E-2</v>
      </c>
      <c r="E5" s="32"/>
      <c r="F5" s="32"/>
      <c r="G5" s="30">
        <v>0.2</v>
      </c>
      <c r="H5" s="30">
        <v>0.2</v>
      </c>
      <c r="I5" s="30">
        <v>0.2</v>
      </c>
      <c r="J5" s="30">
        <v>0.2</v>
      </c>
      <c r="K5" s="30">
        <v>0.2</v>
      </c>
      <c r="M5" s="30">
        <v>131</v>
      </c>
    </row>
    <row r="6" spans="1:14" hidden="1" x14ac:dyDescent="0.3">
      <c r="A6" s="35" t="s">
        <v>485</v>
      </c>
      <c r="B6" s="51">
        <v>0.41666666666666669</v>
      </c>
      <c r="C6" s="51">
        <v>0.42708333333333331</v>
      </c>
      <c r="D6" s="36">
        <f t="shared" si="0"/>
        <v>1.041666666666663E-2</v>
      </c>
      <c r="E6" s="36"/>
      <c r="F6" s="36"/>
      <c r="G6" s="37"/>
      <c r="H6" s="37"/>
      <c r="I6" s="37"/>
      <c r="J6" s="37"/>
      <c r="K6" s="37"/>
    </row>
    <row r="7" spans="1:14" hidden="1" x14ac:dyDescent="0.3">
      <c r="A7" t="s">
        <v>486</v>
      </c>
      <c r="B7" s="49">
        <v>0.42708333333333331</v>
      </c>
      <c r="C7" s="49">
        <v>0.48958333333333331</v>
      </c>
      <c r="D7" s="32">
        <f t="shared" si="0"/>
        <v>6.25E-2</v>
      </c>
      <c r="E7" s="32"/>
      <c r="F7" s="32"/>
      <c r="G7" s="30">
        <v>0.15</v>
      </c>
      <c r="H7" s="30">
        <v>0.15</v>
      </c>
      <c r="I7" s="30">
        <v>0.15</v>
      </c>
      <c r="J7" s="30">
        <v>0.15</v>
      </c>
      <c r="K7" s="30">
        <v>0.15</v>
      </c>
    </row>
    <row r="8" spans="1:14" hidden="1" x14ac:dyDescent="0.3">
      <c r="A8" s="35" t="s">
        <v>487</v>
      </c>
      <c r="B8" s="51">
        <v>0.48958333333333331</v>
      </c>
      <c r="C8" s="51">
        <v>0.52083333333333337</v>
      </c>
      <c r="D8" s="36">
        <f t="shared" si="0"/>
        <v>3.1250000000000056E-2</v>
      </c>
      <c r="E8" s="36"/>
      <c r="F8" s="36"/>
      <c r="G8" s="37"/>
      <c r="H8" s="37"/>
      <c r="I8" s="37"/>
      <c r="J8" s="37"/>
      <c r="K8" s="37"/>
      <c r="M8" s="1">
        <v>81</v>
      </c>
      <c r="N8" t="s">
        <v>339</v>
      </c>
    </row>
    <row r="9" spans="1:14" hidden="1" x14ac:dyDescent="0.3">
      <c r="A9" t="s">
        <v>153</v>
      </c>
      <c r="B9" s="49">
        <v>0.52083333333333337</v>
      </c>
      <c r="C9" s="49">
        <v>0.60416666666666663</v>
      </c>
      <c r="D9" s="32">
        <f t="shared" si="0"/>
        <v>8.3333333333333259E-2</v>
      </c>
      <c r="E9" s="32"/>
      <c r="F9" s="32"/>
      <c r="G9" s="30">
        <v>0.1</v>
      </c>
      <c r="H9" s="30">
        <v>0.2</v>
      </c>
      <c r="I9" s="30">
        <v>0.2</v>
      </c>
      <c r="M9" s="1">
        <v>56</v>
      </c>
      <c r="N9" t="s">
        <v>1064</v>
      </c>
    </row>
    <row r="10" spans="1:14" hidden="1" x14ac:dyDescent="0.3">
      <c r="A10" s="35" t="s">
        <v>485</v>
      </c>
      <c r="B10" s="51">
        <v>0.60416666666666663</v>
      </c>
      <c r="C10" s="51">
        <v>0.61458333333333337</v>
      </c>
      <c r="D10" s="36">
        <f t="shared" si="0"/>
        <v>1.0416666666666741E-2</v>
      </c>
      <c r="E10" s="36"/>
      <c r="F10" s="36"/>
      <c r="G10" s="37"/>
      <c r="H10" s="37"/>
      <c r="I10" s="37"/>
      <c r="J10" s="37"/>
      <c r="K10" s="37"/>
      <c r="M10" s="1">
        <v>78</v>
      </c>
      <c r="N10" t="s">
        <v>1065</v>
      </c>
    </row>
    <row r="11" spans="1:14" ht="15" hidden="1" thickBot="1" x14ac:dyDescent="0.35">
      <c r="A11" s="38" t="s">
        <v>2</v>
      </c>
      <c r="B11" s="52">
        <v>0.61458333333333337</v>
      </c>
      <c r="C11" s="52">
        <v>0.69791666666666663</v>
      </c>
      <c r="D11" s="39">
        <f t="shared" si="0"/>
        <v>8.3333333333333259E-2</v>
      </c>
      <c r="E11" s="39"/>
      <c r="F11" s="39"/>
      <c r="G11" s="40">
        <v>0.2</v>
      </c>
      <c r="H11" s="40">
        <v>0.2</v>
      </c>
      <c r="I11" s="40">
        <v>0.2</v>
      </c>
      <c r="J11" s="40">
        <v>0.2</v>
      </c>
      <c r="K11" s="40"/>
      <c r="M11" s="1">
        <v>99</v>
      </c>
    </row>
    <row r="12" spans="1:14" ht="15" hidden="1" thickTop="1" x14ac:dyDescent="0.3">
      <c r="A12" t="s">
        <v>502</v>
      </c>
      <c r="D12" s="32">
        <f>SUM(D5,D7,D9,D11)</f>
        <v>0.31249999999999989</v>
      </c>
      <c r="E12" s="32"/>
      <c r="F12" s="32"/>
      <c r="G12" s="30">
        <f>SUM(G4:G11)</f>
        <v>0.64999999999999991</v>
      </c>
      <c r="H12" s="30">
        <f t="shared" ref="H12:K12" si="1">SUM(H4:H11)</f>
        <v>0.75</v>
      </c>
      <c r="I12" s="30">
        <f t="shared" si="1"/>
        <v>0.75</v>
      </c>
      <c r="J12" s="30">
        <f t="shared" si="1"/>
        <v>0.55000000000000004</v>
      </c>
      <c r="K12" s="30">
        <f t="shared" si="1"/>
        <v>0.35</v>
      </c>
      <c r="M12" s="2">
        <f>SUM(M4:M11)</f>
        <v>445</v>
      </c>
      <c r="N12" s="6" t="s">
        <v>319</v>
      </c>
    </row>
    <row r="13" spans="1:14" hidden="1" x14ac:dyDescent="0.3"/>
    <row r="14" spans="1:14" s="9" customFormat="1" ht="18" hidden="1" x14ac:dyDescent="0.35">
      <c r="A14" s="9" t="s">
        <v>288</v>
      </c>
      <c r="B14" s="48"/>
      <c r="C14" s="48"/>
      <c r="D14" s="29"/>
      <c r="E14" s="29"/>
      <c r="F14" s="29"/>
      <c r="G14" s="29"/>
      <c r="H14" s="29"/>
      <c r="I14" s="29"/>
      <c r="J14" s="29"/>
      <c r="K14" s="29"/>
      <c r="M14" s="47"/>
    </row>
    <row r="15" spans="1:14" ht="8.25" hidden="1" customHeight="1" x14ac:dyDescent="0.3">
      <c r="A15" s="6"/>
      <c r="B15" s="53"/>
      <c r="C15" s="53"/>
      <c r="D15" s="31"/>
      <c r="E15" s="31"/>
      <c r="F15" s="31"/>
      <c r="G15" s="31"/>
      <c r="H15" s="31"/>
      <c r="I15" s="31"/>
      <c r="J15" s="31"/>
      <c r="K15" s="31"/>
    </row>
    <row r="16" spans="1:14" ht="15" hidden="1" thickBot="1" x14ac:dyDescent="0.35">
      <c r="A16" s="33" t="s">
        <v>279</v>
      </c>
      <c r="B16" s="50" t="s">
        <v>482</v>
      </c>
      <c r="C16" s="50" t="s">
        <v>483</v>
      </c>
      <c r="D16" s="34" t="s">
        <v>322</v>
      </c>
      <c r="E16" s="34"/>
      <c r="F16" s="34"/>
      <c r="G16" s="34" t="s">
        <v>22</v>
      </c>
      <c r="H16" s="34" t="s">
        <v>23</v>
      </c>
      <c r="I16" s="34" t="s">
        <v>26</v>
      </c>
      <c r="J16" s="34" t="s">
        <v>25</v>
      </c>
      <c r="K16" s="34" t="s">
        <v>24</v>
      </c>
    </row>
    <row r="17" spans="1:14" ht="15" hidden="1" thickTop="1" x14ac:dyDescent="0.3">
      <c r="A17" t="s">
        <v>484</v>
      </c>
      <c r="B17" s="49">
        <v>0.32291666666666669</v>
      </c>
      <c r="C17" s="49">
        <v>0.33333333333333331</v>
      </c>
      <c r="D17" s="32">
        <f>C17-B17</f>
        <v>1.041666666666663E-2</v>
      </c>
      <c r="E17" s="32"/>
      <c r="F17" s="32"/>
    </row>
    <row r="18" spans="1:14" hidden="1" x14ac:dyDescent="0.3">
      <c r="A18" t="s">
        <v>488</v>
      </c>
      <c r="B18" s="49">
        <v>0.33333333333333331</v>
      </c>
      <c r="C18" s="49">
        <v>0.41666666666666669</v>
      </c>
      <c r="D18" s="32">
        <f t="shared" ref="D18:D25" si="2">C18-B18</f>
        <v>8.333333333333337E-2</v>
      </c>
      <c r="E18" s="32"/>
      <c r="F18" s="32"/>
      <c r="H18" s="30">
        <v>0.2</v>
      </c>
      <c r="I18" s="30">
        <v>0.2</v>
      </c>
      <c r="M18" s="1">
        <v>148</v>
      </c>
    </row>
    <row r="19" spans="1:14" hidden="1" x14ac:dyDescent="0.3">
      <c r="A19" s="35" t="s">
        <v>485</v>
      </c>
      <c r="B19" s="51">
        <v>0.41666666666666669</v>
      </c>
      <c r="C19" s="51">
        <v>0.42708333333333331</v>
      </c>
      <c r="D19" s="36">
        <f t="shared" si="2"/>
        <v>1.041666666666663E-2</v>
      </c>
      <c r="E19" s="36"/>
      <c r="F19" s="36"/>
      <c r="G19" s="37"/>
      <c r="H19" s="37"/>
      <c r="I19" s="37"/>
      <c r="J19" s="37"/>
      <c r="K19" s="37"/>
    </row>
    <row r="20" spans="1:14" hidden="1" x14ac:dyDescent="0.3">
      <c r="A20" t="s">
        <v>489</v>
      </c>
      <c r="B20" s="49">
        <v>0.42708333333333331</v>
      </c>
      <c r="C20" s="49">
        <v>0.46875</v>
      </c>
      <c r="D20" s="32">
        <f t="shared" si="2"/>
        <v>4.1666666666666685E-2</v>
      </c>
      <c r="E20" s="32"/>
      <c r="F20" s="32"/>
      <c r="H20" s="30">
        <v>0.1</v>
      </c>
      <c r="I20" s="30">
        <v>0.1</v>
      </c>
      <c r="M20" s="1">
        <v>74</v>
      </c>
    </row>
    <row r="21" spans="1:14" hidden="1" x14ac:dyDescent="0.3">
      <c r="A21" s="35" t="s">
        <v>487</v>
      </c>
      <c r="B21" s="51">
        <v>0.46875</v>
      </c>
      <c r="C21" s="51">
        <v>0.5</v>
      </c>
      <c r="D21" s="36">
        <f t="shared" si="2"/>
        <v>3.125E-2</v>
      </c>
      <c r="E21" s="36"/>
      <c r="F21" s="36"/>
      <c r="G21" s="37"/>
      <c r="H21" s="37"/>
      <c r="I21" s="37"/>
      <c r="J21" s="37"/>
      <c r="K21" s="37"/>
    </row>
    <row r="22" spans="1:14" hidden="1" x14ac:dyDescent="0.3">
      <c r="A22" t="s">
        <v>490</v>
      </c>
      <c r="B22" s="49">
        <v>0.5</v>
      </c>
      <c r="C22" s="49">
        <v>0.58333333333333337</v>
      </c>
      <c r="D22" s="32">
        <f t="shared" si="2"/>
        <v>8.333333333333337E-2</v>
      </c>
      <c r="E22" s="32"/>
      <c r="F22" s="32"/>
      <c r="G22" s="30">
        <v>0.2</v>
      </c>
      <c r="H22" s="30">
        <v>0.2</v>
      </c>
      <c r="I22" s="30">
        <v>0.2</v>
      </c>
      <c r="J22" s="30">
        <v>0.2</v>
      </c>
      <c r="K22" s="30">
        <v>0.2</v>
      </c>
    </row>
    <row r="23" spans="1:14" hidden="1" x14ac:dyDescent="0.3">
      <c r="A23" s="35" t="s">
        <v>485</v>
      </c>
      <c r="B23" s="51">
        <v>0.58333333333333337</v>
      </c>
      <c r="C23" s="51">
        <v>0.59375</v>
      </c>
      <c r="D23" s="36">
        <f t="shared" si="2"/>
        <v>1.041666666666663E-2</v>
      </c>
      <c r="E23" s="36"/>
      <c r="F23" s="36"/>
      <c r="G23" s="37"/>
      <c r="H23" s="37"/>
      <c r="I23" s="37"/>
      <c r="J23" s="37"/>
      <c r="K23" s="37"/>
    </row>
    <row r="24" spans="1:14" hidden="1" x14ac:dyDescent="0.3">
      <c r="A24" t="s">
        <v>491</v>
      </c>
      <c r="B24" s="49">
        <v>0.59375</v>
      </c>
      <c r="C24" s="49">
        <v>0.65625</v>
      </c>
      <c r="D24" s="32">
        <f t="shared" si="2"/>
        <v>6.25E-2</v>
      </c>
      <c r="E24" s="32"/>
      <c r="F24" s="32"/>
      <c r="G24" s="30">
        <v>0.15</v>
      </c>
      <c r="H24" s="30">
        <v>0.15</v>
      </c>
      <c r="I24" s="30">
        <v>0.15</v>
      </c>
      <c r="M24" s="1">
        <f>143-25</f>
        <v>118</v>
      </c>
    </row>
    <row r="25" spans="1:14" ht="15" hidden="1" thickBot="1" x14ac:dyDescent="0.35">
      <c r="A25" s="38" t="s">
        <v>492</v>
      </c>
      <c r="B25" s="52">
        <v>0.65625</v>
      </c>
      <c r="C25" s="52">
        <v>0.70833333333333337</v>
      </c>
      <c r="D25" s="39">
        <f t="shared" si="2"/>
        <v>5.208333333333337E-2</v>
      </c>
      <c r="E25" s="39"/>
      <c r="F25" s="39"/>
      <c r="G25" s="40"/>
      <c r="H25" s="40">
        <v>0.1</v>
      </c>
      <c r="I25" s="40">
        <v>0.1</v>
      </c>
      <c r="J25" s="40"/>
      <c r="K25" s="40"/>
      <c r="M25" s="1">
        <v>54</v>
      </c>
    </row>
    <row r="26" spans="1:14" ht="15" hidden="1" thickTop="1" x14ac:dyDescent="0.3">
      <c r="A26" t="s">
        <v>503</v>
      </c>
      <c r="D26" s="32">
        <f>SUM(D18,D20,D22,D24,D25)</f>
        <v>0.3229166666666668</v>
      </c>
      <c r="E26" s="32"/>
      <c r="F26" s="32"/>
      <c r="G26" s="30">
        <f>SUM(G17:G25)</f>
        <v>0.35</v>
      </c>
      <c r="H26" s="30">
        <f t="shared" ref="H26:K26" si="3">SUM(H17:H25)</f>
        <v>0.75</v>
      </c>
      <c r="I26" s="30">
        <f t="shared" si="3"/>
        <v>0.75</v>
      </c>
      <c r="J26" s="30">
        <f t="shared" si="3"/>
        <v>0.2</v>
      </c>
      <c r="K26" s="30">
        <f t="shared" si="3"/>
        <v>0.2</v>
      </c>
      <c r="M26" s="2">
        <f>SUM(M17:M25)</f>
        <v>394</v>
      </c>
      <c r="N26" s="6" t="s">
        <v>319</v>
      </c>
    </row>
    <row r="27" spans="1:14" hidden="1" x14ac:dyDescent="0.3"/>
    <row r="28" spans="1:14" s="9" customFormat="1" ht="18" hidden="1" x14ac:dyDescent="0.35">
      <c r="A28" s="9" t="s">
        <v>289</v>
      </c>
      <c r="B28" s="48"/>
      <c r="C28" s="48"/>
      <c r="D28" s="29"/>
      <c r="E28" s="29"/>
      <c r="F28" s="29"/>
      <c r="G28" s="29"/>
      <c r="H28" s="29"/>
      <c r="I28" s="29"/>
      <c r="J28" s="29"/>
      <c r="K28" s="29"/>
      <c r="M28" s="47"/>
    </row>
    <row r="29" spans="1:14" ht="6.75" hidden="1" customHeight="1" x14ac:dyDescent="0.3">
      <c r="A29" s="6"/>
      <c r="B29" s="53"/>
      <c r="C29" s="53"/>
      <c r="D29" s="31"/>
      <c r="E29" s="31"/>
      <c r="F29" s="31"/>
      <c r="G29" s="31"/>
      <c r="H29" s="31"/>
      <c r="I29" s="31"/>
      <c r="J29" s="31"/>
      <c r="K29" s="31"/>
    </row>
    <row r="30" spans="1:14" ht="15" hidden="1" thickBot="1" x14ac:dyDescent="0.35">
      <c r="A30" s="33" t="s">
        <v>279</v>
      </c>
      <c r="B30" s="50" t="s">
        <v>482</v>
      </c>
      <c r="C30" s="50" t="s">
        <v>483</v>
      </c>
      <c r="D30" s="34" t="s">
        <v>322</v>
      </c>
      <c r="E30" s="34"/>
      <c r="F30" s="34"/>
      <c r="G30" s="34" t="s">
        <v>22</v>
      </c>
      <c r="H30" s="34" t="s">
        <v>23</v>
      </c>
      <c r="I30" s="34" t="s">
        <v>26</v>
      </c>
      <c r="J30" s="34" t="s">
        <v>25</v>
      </c>
      <c r="K30" s="34" t="s">
        <v>24</v>
      </c>
    </row>
    <row r="31" spans="1:14" ht="15" hidden="1" thickTop="1" x14ac:dyDescent="0.3">
      <c r="A31" t="s">
        <v>484</v>
      </c>
      <c r="B31" s="49">
        <v>0.32291666666666669</v>
      </c>
      <c r="C31" s="49">
        <v>0.33333333333333331</v>
      </c>
      <c r="D31" s="32">
        <f>C31-B31</f>
        <v>1.041666666666663E-2</v>
      </c>
      <c r="E31" s="32"/>
      <c r="F31" s="32"/>
    </row>
    <row r="32" spans="1:14" hidden="1" x14ac:dyDescent="0.3">
      <c r="A32" t="s">
        <v>493</v>
      </c>
      <c r="B32" s="49">
        <v>0.33333333333333331</v>
      </c>
      <c r="C32" s="49">
        <v>0.41666666666666669</v>
      </c>
      <c r="D32" s="32">
        <f t="shared" ref="D32:D42" si="4">C32-B32</f>
        <v>8.333333333333337E-2</v>
      </c>
      <c r="E32" s="32"/>
      <c r="F32" s="32"/>
      <c r="H32" s="30">
        <v>0.2</v>
      </c>
      <c r="I32" s="30">
        <v>0.2</v>
      </c>
      <c r="M32" s="1">
        <v>119</v>
      </c>
    </row>
    <row r="33" spans="1:14" hidden="1" x14ac:dyDescent="0.3">
      <c r="A33" s="35" t="s">
        <v>485</v>
      </c>
      <c r="B33" s="51">
        <v>0.41666666666666669</v>
      </c>
      <c r="C33" s="51">
        <v>0.42708333333333331</v>
      </c>
      <c r="D33" s="36">
        <f t="shared" si="4"/>
        <v>1.041666666666663E-2</v>
      </c>
      <c r="E33" s="36"/>
      <c r="F33" s="36"/>
      <c r="G33" s="37"/>
      <c r="H33" s="37"/>
      <c r="I33" s="37"/>
      <c r="J33" s="37"/>
      <c r="K33" s="37"/>
    </row>
    <row r="34" spans="1:14" hidden="1" x14ac:dyDescent="0.3">
      <c r="A34" t="s">
        <v>494</v>
      </c>
      <c r="B34" s="49">
        <v>0.42708333333333331</v>
      </c>
      <c r="C34" s="49">
        <v>0.44791666666666669</v>
      </c>
      <c r="D34" s="32">
        <f t="shared" si="4"/>
        <v>2.083333333333337E-2</v>
      </c>
      <c r="E34" s="32"/>
      <c r="F34" s="32"/>
      <c r="H34" s="30">
        <v>0.05</v>
      </c>
      <c r="I34" s="30">
        <v>0.05</v>
      </c>
    </row>
    <row r="35" spans="1:14" hidden="1" x14ac:dyDescent="0.3">
      <c r="A35" t="s">
        <v>495</v>
      </c>
      <c r="B35" s="49">
        <v>0.44791666666666669</v>
      </c>
      <c r="C35" s="49">
        <v>0.46875</v>
      </c>
      <c r="D35" s="32">
        <f t="shared" si="4"/>
        <v>2.0833333333333315E-2</v>
      </c>
      <c r="E35" s="32"/>
      <c r="F35" s="32"/>
      <c r="G35" s="30">
        <v>0.05</v>
      </c>
      <c r="H35" s="30">
        <v>0.05</v>
      </c>
      <c r="I35" s="30">
        <v>0.05</v>
      </c>
      <c r="M35" s="1">
        <v>59</v>
      </c>
    </row>
    <row r="36" spans="1:14" hidden="1" x14ac:dyDescent="0.3">
      <c r="A36" s="35" t="s">
        <v>487</v>
      </c>
      <c r="B36" s="51">
        <v>0.46875</v>
      </c>
      <c r="C36" s="51">
        <v>0.5</v>
      </c>
      <c r="D36" s="36">
        <f t="shared" si="4"/>
        <v>3.125E-2</v>
      </c>
      <c r="E36" s="36"/>
      <c r="F36" s="36"/>
      <c r="G36" s="37"/>
      <c r="H36" s="37"/>
      <c r="I36" s="37"/>
      <c r="J36" s="37"/>
      <c r="K36" s="37"/>
    </row>
    <row r="37" spans="1:14" hidden="1" x14ac:dyDescent="0.3">
      <c r="A37" t="s">
        <v>496</v>
      </c>
      <c r="B37" s="49">
        <v>0.5</v>
      </c>
      <c r="C37" s="49">
        <v>0.54166666666666663</v>
      </c>
      <c r="D37" s="32">
        <f t="shared" si="4"/>
        <v>4.166666666666663E-2</v>
      </c>
      <c r="E37" s="32"/>
      <c r="F37" s="32"/>
      <c r="G37" s="30">
        <v>0.1</v>
      </c>
      <c r="H37" s="30">
        <v>0.1</v>
      </c>
      <c r="I37" s="30">
        <v>0.1</v>
      </c>
      <c r="M37" s="1">
        <v>71</v>
      </c>
    </row>
    <row r="38" spans="1:14" hidden="1" x14ac:dyDescent="0.3">
      <c r="A38" t="s">
        <v>497</v>
      </c>
      <c r="B38" s="49">
        <v>0.54166666666666663</v>
      </c>
      <c r="C38" s="49">
        <v>0.58333333333333337</v>
      </c>
      <c r="D38" s="32">
        <f t="shared" si="4"/>
        <v>4.1666666666666741E-2</v>
      </c>
      <c r="E38" s="32"/>
      <c r="F38" s="32"/>
      <c r="G38" s="30">
        <v>0.1</v>
      </c>
      <c r="H38" s="30">
        <v>0.1</v>
      </c>
      <c r="J38" s="30">
        <v>0.1</v>
      </c>
      <c r="K38" s="30">
        <v>0.1</v>
      </c>
    </row>
    <row r="39" spans="1:14" hidden="1" x14ac:dyDescent="0.3">
      <c r="A39" s="35" t="s">
        <v>485</v>
      </c>
      <c r="B39" s="51">
        <v>0.58333333333333337</v>
      </c>
      <c r="C39" s="51">
        <v>0.59375</v>
      </c>
      <c r="D39" s="36">
        <f t="shared" si="4"/>
        <v>1.041666666666663E-2</v>
      </c>
      <c r="E39" s="36"/>
      <c r="F39" s="36"/>
      <c r="G39" s="37"/>
      <c r="H39" s="37"/>
      <c r="I39" s="37"/>
      <c r="J39" s="37"/>
      <c r="K39" s="37"/>
    </row>
    <row r="40" spans="1:14" hidden="1" x14ac:dyDescent="0.3">
      <c r="A40" t="s">
        <v>1</v>
      </c>
      <c r="B40" s="49">
        <v>0.59375</v>
      </c>
      <c r="C40" s="49">
        <v>0.63541666666666663</v>
      </c>
      <c r="D40" s="32">
        <f t="shared" si="4"/>
        <v>4.166666666666663E-2</v>
      </c>
      <c r="E40" s="32"/>
      <c r="F40" s="32"/>
      <c r="G40" s="30">
        <v>0.1</v>
      </c>
      <c r="H40" s="30">
        <v>0.1</v>
      </c>
      <c r="I40" s="30">
        <v>0.1</v>
      </c>
      <c r="J40" s="30">
        <v>0.1</v>
      </c>
      <c r="M40" s="1">
        <v>72</v>
      </c>
    </row>
    <row r="41" spans="1:14" hidden="1" x14ac:dyDescent="0.3">
      <c r="A41" t="s">
        <v>1053</v>
      </c>
      <c r="B41" s="49">
        <f>C40</f>
        <v>0.63541666666666663</v>
      </c>
      <c r="C41" s="49">
        <v>0.65625</v>
      </c>
      <c r="D41" s="32">
        <f>C41-B41</f>
        <v>2.083333333333337E-2</v>
      </c>
      <c r="E41" s="32"/>
      <c r="F41" s="32"/>
      <c r="G41" s="30">
        <v>0.05</v>
      </c>
      <c r="H41" s="30">
        <v>0.05</v>
      </c>
      <c r="I41" s="30">
        <v>0.05</v>
      </c>
      <c r="J41" s="30">
        <v>0.05</v>
      </c>
      <c r="M41" s="1">
        <v>36</v>
      </c>
    </row>
    <row r="42" spans="1:14" ht="15" hidden="1" thickBot="1" x14ac:dyDescent="0.35">
      <c r="A42" s="38" t="s">
        <v>1066</v>
      </c>
      <c r="B42" s="52">
        <f>C41</f>
        <v>0.65625</v>
      </c>
      <c r="C42" s="52">
        <v>0.70833333333333337</v>
      </c>
      <c r="D42" s="39">
        <f t="shared" si="4"/>
        <v>5.208333333333337E-2</v>
      </c>
      <c r="E42" s="39"/>
      <c r="F42" s="39"/>
      <c r="G42" s="40">
        <v>0.1</v>
      </c>
      <c r="H42" s="40">
        <v>0.1</v>
      </c>
      <c r="I42" s="40">
        <v>0.1</v>
      </c>
      <c r="J42" s="40">
        <v>0.1</v>
      </c>
      <c r="K42" s="40"/>
      <c r="M42" s="1">
        <v>60</v>
      </c>
    </row>
    <row r="43" spans="1:14" ht="15" hidden="1" thickTop="1" x14ac:dyDescent="0.3">
      <c r="A43" t="s">
        <v>504</v>
      </c>
      <c r="D43" s="32">
        <f>SUM(D31:D42)-D31-D33-D36-D39</f>
        <v>0.3229166666666668</v>
      </c>
      <c r="E43" s="32"/>
      <c r="F43" s="32"/>
      <c r="G43" s="30">
        <f>SUM(G31:G42)</f>
        <v>0.5</v>
      </c>
      <c r="H43" s="30">
        <f t="shared" ref="H43:K43" si="5">SUM(H31:H42)</f>
        <v>0.75</v>
      </c>
      <c r="I43" s="30">
        <v>0.7</v>
      </c>
      <c r="J43" s="30">
        <f t="shared" si="5"/>
        <v>0.35</v>
      </c>
      <c r="K43" s="30">
        <f t="shared" si="5"/>
        <v>0.1</v>
      </c>
      <c r="M43" s="2">
        <f>SUM(M32:M42)</f>
        <v>417</v>
      </c>
      <c r="N43" s="6" t="s">
        <v>319</v>
      </c>
    </row>
    <row r="44" spans="1:14" hidden="1" x14ac:dyDescent="0.3"/>
    <row r="45" spans="1:14" ht="18" hidden="1" x14ac:dyDescent="0.35">
      <c r="A45" s="9" t="s">
        <v>498</v>
      </c>
    </row>
    <row r="46" spans="1:14" ht="15" hidden="1" thickBot="1" x14ac:dyDescent="0.35">
      <c r="A46" s="33" t="s">
        <v>279</v>
      </c>
      <c r="B46" s="50" t="s">
        <v>482</v>
      </c>
      <c r="C46" s="50" t="s">
        <v>483</v>
      </c>
      <c r="D46" s="34" t="s">
        <v>322</v>
      </c>
      <c r="E46" s="34"/>
      <c r="F46" s="34"/>
      <c r="G46" s="34" t="s">
        <v>22</v>
      </c>
      <c r="H46" s="34" t="s">
        <v>23</v>
      </c>
      <c r="I46" s="34" t="s">
        <v>26</v>
      </c>
      <c r="J46" s="34" t="s">
        <v>25</v>
      </c>
      <c r="K46" s="34" t="s">
        <v>24</v>
      </c>
    </row>
    <row r="47" spans="1:14" ht="15" hidden="1" thickTop="1" x14ac:dyDescent="0.3">
      <c r="A47" t="s">
        <v>499</v>
      </c>
      <c r="B47" s="49">
        <v>0.33333333333333331</v>
      </c>
      <c r="C47" s="49">
        <v>0.70833333333333337</v>
      </c>
      <c r="D47" s="32">
        <f>D12</f>
        <v>0.31249999999999989</v>
      </c>
      <c r="E47" s="32"/>
      <c r="F47" s="32"/>
      <c r="G47" s="41">
        <f t="shared" ref="G47:K47" si="6">G12</f>
        <v>0.64999999999999991</v>
      </c>
      <c r="H47" s="41">
        <f t="shared" si="6"/>
        <v>0.75</v>
      </c>
      <c r="I47" s="41">
        <f t="shared" si="6"/>
        <v>0.75</v>
      </c>
      <c r="J47" s="41">
        <f t="shared" si="6"/>
        <v>0.55000000000000004</v>
      </c>
      <c r="K47" s="41">
        <f t="shared" si="6"/>
        <v>0.35</v>
      </c>
    </row>
    <row r="48" spans="1:14" hidden="1" x14ac:dyDescent="0.3">
      <c r="A48" t="s">
        <v>500</v>
      </c>
      <c r="B48" s="49">
        <v>0.33333333333333331</v>
      </c>
      <c r="C48" s="49">
        <v>0.70833333333333337</v>
      </c>
      <c r="D48" s="32">
        <f>D26</f>
        <v>0.3229166666666668</v>
      </c>
      <c r="E48" s="32"/>
      <c r="F48" s="32"/>
      <c r="G48" s="41">
        <f t="shared" ref="G48:K48" si="7">G26</f>
        <v>0.35</v>
      </c>
      <c r="H48" s="41">
        <f t="shared" si="7"/>
        <v>0.75</v>
      </c>
      <c r="I48" s="41">
        <f t="shared" si="7"/>
        <v>0.75</v>
      </c>
      <c r="J48" s="41">
        <f t="shared" si="7"/>
        <v>0.2</v>
      </c>
      <c r="K48" s="41">
        <f t="shared" si="7"/>
        <v>0.2</v>
      </c>
    </row>
    <row r="49" spans="1:13" ht="15" hidden="1" thickBot="1" x14ac:dyDescent="0.35">
      <c r="A49" s="43" t="s">
        <v>501</v>
      </c>
      <c r="B49" s="54">
        <v>0.33333333333333331</v>
      </c>
      <c r="C49" s="54">
        <v>0.70833333333333337</v>
      </c>
      <c r="D49" s="44">
        <f>D43</f>
        <v>0.3229166666666668</v>
      </c>
      <c r="E49" s="44"/>
      <c r="F49" s="44"/>
      <c r="G49" s="45">
        <f t="shared" ref="G49:K49" si="8">G43</f>
        <v>0.5</v>
      </c>
      <c r="H49" s="45">
        <f t="shared" si="8"/>
        <v>0.75</v>
      </c>
      <c r="I49" s="45">
        <f t="shared" si="8"/>
        <v>0.7</v>
      </c>
      <c r="J49" s="45">
        <f t="shared" si="8"/>
        <v>0.35</v>
      </c>
      <c r="K49" s="45">
        <f t="shared" si="8"/>
        <v>0.1</v>
      </c>
    </row>
    <row r="50" spans="1:13" hidden="1" x14ac:dyDescent="0.3">
      <c r="G50" s="41">
        <f>SUM(G47:G49)</f>
        <v>1.5</v>
      </c>
      <c r="H50" s="41">
        <f t="shared" ref="H50:K50" si="9">SUM(H47:H49)</f>
        <v>2.25</v>
      </c>
      <c r="I50" s="41">
        <f t="shared" si="9"/>
        <v>2.2000000000000002</v>
      </c>
      <c r="J50" s="41">
        <f t="shared" si="9"/>
        <v>1.1000000000000001</v>
      </c>
      <c r="K50" s="41">
        <f t="shared" si="9"/>
        <v>0.65</v>
      </c>
    </row>
    <row r="51" spans="1:13" hidden="1" x14ac:dyDescent="0.3"/>
    <row r="52" spans="1:13" hidden="1" x14ac:dyDescent="0.3">
      <c r="A52" t="s">
        <v>505</v>
      </c>
    </row>
    <row r="53" spans="1:13" hidden="1" x14ac:dyDescent="0.3">
      <c r="A53" t="s">
        <v>506</v>
      </c>
    </row>
    <row r="54" spans="1:13" hidden="1" x14ac:dyDescent="0.3"/>
    <row r="55" spans="1:13" hidden="1" x14ac:dyDescent="0.3"/>
    <row r="56" spans="1:13" ht="15" thickBot="1" x14ac:dyDescent="0.35">
      <c r="A56" s="33" t="s">
        <v>1193</v>
      </c>
      <c r="B56" s="50" t="s">
        <v>482</v>
      </c>
      <c r="C56" s="50" t="s">
        <v>483</v>
      </c>
      <c r="D56" s="34" t="s">
        <v>322</v>
      </c>
      <c r="E56" s="34" t="s">
        <v>1111</v>
      </c>
      <c r="F56" s="34" t="s">
        <v>1187</v>
      </c>
      <c r="G56" s="34" t="s">
        <v>22</v>
      </c>
      <c r="H56" s="34" t="s">
        <v>23</v>
      </c>
      <c r="I56" s="34" t="s">
        <v>26</v>
      </c>
      <c r="J56" s="34" t="s">
        <v>25</v>
      </c>
      <c r="K56" s="34" t="s">
        <v>24</v>
      </c>
    </row>
    <row r="57" spans="1:13" ht="15" thickTop="1" x14ac:dyDescent="0.3">
      <c r="A57" t="s">
        <v>0</v>
      </c>
      <c r="B57" s="49">
        <v>0.33333333333333331</v>
      </c>
      <c r="C57" s="49">
        <f>B57+D57</f>
        <v>0.39583333333333331</v>
      </c>
      <c r="D57" s="32">
        <v>6.25E-2</v>
      </c>
      <c r="E57" s="30">
        <v>133</v>
      </c>
      <c r="F57" s="30">
        <v>0.15</v>
      </c>
      <c r="G57" s="1">
        <v>0.15</v>
      </c>
      <c r="H57" s="1">
        <v>0.15</v>
      </c>
      <c r="I57" s="1">
        <v>0.15</v>
      </c>
      <c r="J57" s="1">
        <v>0.15</v>
      </c>
      <c r="K57" s="1">
        <v>0.15</v>
      </c>
      <c r="M57"/>
    </row>
    <row r="58" spans="1:13" x14ac:dyDescent="0.3">
      <c r="A58" t="s">
        <v>1</v>
      </c>
      <c r="B58" s="49">
        <f>C57</f>
        <v>0.39583333333333331</v>
      </c>
      <c r="C58" s="49">
        <f t="shared" ref="C58:C62" si="10">B58+D58</f>
        <v>0.45833333333333331</v>
      </c>
      <c r="D58" s="32">
        <v>6.25E-2</v>
      </c>
      <c r="E58" s="30">
        <v>89</v>
      </c>
      <c r="F58" s="30">
        <v>0.15</v>
      </c>
      <c r="G58" s="1">
        <v>0</v>
      </c>
      <c r="H58" s="1">
        <v>0.15</v>
      </c>
      <c r="I58" s="1">
        <v>0.15</v>
      </c>
      <c r="J58" s="1">
        <v>0</v>
      </c>
      <c r="K58" s="1">
        <v>0.15</v>
      </c>
      <c r="M58"/>
    </row>
    <row r="59" spans="1:13" x14ac:dyDescent="0.3">
      <c r="A59" s="35" t="s">
        <v>487</v>
      </c>
      <c r="B59" s="51">
        <f t="shared" ref="B59:B62" si="11">C58</f>
        <v>0.45833333333333331</v>
      </c>
      <c r="C59" s="51">
        <f t="shared" si="10"/>
        <v>0.48958333333333331</v>
      </c>
      <c r="D59" s="36">
        <v>3.125E-2</v>
      </c>
      <c r="E59" s="37"/>
      <c r="F59" s="37"/>
      <c r="G59" s="37"/>
      <c r="H59" s="37"/>
      <c r="I59" s="37"/>
      <c r="J59" s="37"/>
      <c r="K59" s="37"/>
      <c r="M59"/>
    </row>
    <row r="60" spans="1:13" x14ac:dyDescent="0.3">
      <c r="A60" t="s">
        <v>486</v>
      </c>
      <c r="B60" s="49">
        <f t="shared" si="11"/>
        <v>0.48958333333333331</v>
      </c>
      <c r="C60" s="49">
        <f t="shared" si="10"/>
        <v>0.53125</v>
      </c>
      <c r="D60" s="32">
        <v>4.1666666666666664E-2</v>
      </c>
      <c r="F60" s="30">
        <v>0.1</v>
      </c>
      <c r="G60" s="1">
        <v>0.1</v>
      </c>
      <c r="H60" s="1">
        <v>0.1</v>
      </c>
      <c r="I60" s="1">
        <v>0.1</v>
      </c>
      <c r="J60" s="1">
        <v>0.1</v>
      </c>
      <c r="K60" s="1">
        <v>0.1</v>
      </c>
      <c r="M60"/>
    </row>
    <row r="61" spans="1:13" x14ac:dyDescent="0.3">
      <c r="A61" t="s">
        <v>1102</v>
      </c>
      <c r="B61" s="49">
        <f t="shared" si="11"/>
        <v>0.53125</v>
      </c>
      <c r="C61" s="49">
        <f t="shared" si="10"/>
        <v>0.63541666666666663</v>
      </c>
      <c r="D61" s="32">
        <v>0.10416666666666667</v>
      </c>
      <c r="E61" s="30">
        <v>162</v>
      </c>
      <c r="F61" s="30">
        <v>0.25</v>
      </c>
      <c r="G61" s="1">
        <v>0</v>
      </c>
      <c r="H61" s="1">
        <v>0.25</v>
      </c>
      <c r="I61" s="1">
        <v>0.25</v>
      </c>
      <c r="J61" s="1">
        <v>0</v>
      </c>
      <c r="K61" s="1">
        <v>0</v>
      </c>
      <c r="M61"/>
    </row>
    <row r="62" spans="1:13" x14ac:dyDescent="0.3">
      <c r="A62" t="s">
        <v>1053</v>
      </c>
      <c r="B62" s="49">
        <f t="shared" si="11"/>
        <v>0.63541666666666663</v>
      </c>
      <c r="C62" s="49">
        <f t="shared" si="10"/>
        <v>0.65625</v>
      </c>
      <c r="D62" s="32">
        <v>2.0833333333333332E-2</v>
      </c>
      <c r="E62" s="30">
        <v>30</v>
      </c>
      <c r="F62" s="30">
        <v>0.05</v>
      </c>
      <c r="G62" s="1">
        <v>0.05</v>
      </c>
      <c r="H62" s="1">
        <v>0.05</v>
      </c>
      <c r="I62" s="1">
        <v>0.05</v>
      </c>
      <c r="J62" s="1">
        <v>0.05</v>
      </c>
      <c r="K62" s="1">
        <v>0.05</v>
      </c>
      <c r="M62"/>
    </row>
    <row r="63" spans="1:13" x14ac:dyDescent="0.3">
      <c r="A63" s="57" t="s">
        <v>1188</v>
      </c>
      <c r="B63" s="58">
        <f t="shared" ref="B63" si="12">C62</f>
        <v>0.65625</v>
      </c>
      <c r="C63" s="58">
        <f t="shared" ref="C63" si="13">B63+D63</f>
        <v>0.67708333333333337</v>
      </c>
      <c r="D63" s="59">
        <v>2.0833333333333332E-2</v>
      </c>
      <c r="E63" s="60"/>
      <c r="F63" s="60">
        <v>0.05</v>
      </c>
      <c r="G63" s="60">
        <v>0</v>
      </c>
      <c r="H63" s="60">
        <v>0.05</v>
      </c>
      <c r="I63" s="15">
        <v>0.05</v>
      </c>
      <c r="J63" s="15">
        <v>0</v>
      </c>
      <c r="K63" s="15">
        <v>0</v>
      </c>
      <c r="M63"/>
    </row>
    <row r="64" spans="1:13" x14ac:dyDescent="0.3">
      <c r="A64" t="s">
        <v>1189</v>
      </c>
      <c r="D64" s="32"/>
      <c r="F64" s="30">
        <f>SUM(F57:F63)</f>
        <v>0.75000000000000011</v>
      </c>
      <c r="G64" s="30">
        <f t="shared" ref="G64:K64" si="14">SUM(G57:G63)</f>
        <v>0.3</v>
      </c>
      <c r="H64" s="30">
        <f t="shared" si="14"/>
        <v>0.75000000000000011</v>
      </c>
      <c r="I64" s="30">
        <f t="shared" si="14"/>
        <v>0.75000000000000011</v>
      </c>
      <c r="J64" s="30">
        <f t="shared" si="14"/>
        <v>0.3</v>
      </c>
      <c r="K64" s="30">
        <f t="shared" si="14"/>
        <v>0.45</v>
      </c>
      <c r="M64"/>
    </row>
    <row r="65" spans="1:20" x14ac:dyDescent="0.3">
      <c r="D65" s="32"/>
      <c r="I65" s="1"/>
      <c r="J65" s="1"/>
      <c r="K65" s="1"/>
      <c r="M65"/>
    </row>
    <row r="66" spans="1:20" ht="15" thickBot="1" x14ac:dyDescent="0.35">
      <c r="A66" s="33" t="s">
        <v>1194</v>
      </c>
      <c r="B66" s="50" t="s">
        <v>482</v>
      </c>
      <c r="C66" s="50" t="s">
        <v>483</v>
      </c>
      <c r="D66" s="34" t="s">
        <v>322</v>
      </c>
      <c r="E66" s="34" t="s">
        <v>1111</v>
      </c>
      <c r="F66" s="34" t="s">
        <v>1187</v>
      </c>
      <c r="G66" s="34" t="s">
        <v>22</v>
      </c>
      <c r="H66" s="34" t="s">
        <v>23</v>
      </c>
      <c r="I66" s="34" t="s">
        <v>26</v>
      </c>
      <c r="J66" s="34" t="s">
        <v>25</v>
      </c>
      <c r="K66" s="34" t="s">
        <v>24</v>
      </c>
      <c r="M66" s="30"/>
      <c r="N66" s="30"/>
      <c r="O66" s="30"/>
    </row>
    <row r="67" spans="1:20" ht="15" thickTop="1" x14ac:dyDescent="0.3">
      <c r="A67" t="s">
        <v>1064</v>
      </c>
      <c r="B67" s="49">
        <v>0.33333333333333331</v>
      </c>
      <c r="C67" s="49">
        <f>B67+D67</f>
        <v>0.39583333333333331</v>
      </c>
      <c r="D67" s="32">
        <v>6.25E-2</v>
      </c>
      <c r="E67" s="30">
        <v>75</v>
      </c>
      <c r="F67" s="30">
        <v>0.15</v>
      </c>
      <c r="G67" s="32">
        <v>0</v>
      </c>
      <c r="H67" s="30">
        <v>0.15</v>
      </c>
      <c r="I67" s="30">
        <v>0.15</v>
      </c>
      <c r="J67" s="1">
        <v>0</v>
      </c>
      <c r="K67" s="1">
        <v>0</v>
      </c>
      <c r="M67"/>
    </row>
    <row r="68" spans="1:20" x14ac:dyDescent="0.3">
      <c r="A68" t="s">
        <v>1065</v>
      </c>
      <c r="B68" s="49">
        <f>C67</f>
        <v>0.39583333333333331</v>
      </c>
      <c r="C68" s="49">
        <f t="shared" ref="C68:C73" si="15">B68+D68</f>
        <v>0.45833333333333331</v>
      </c>
      <c r="D68" s="32">
        <v>6.25E-2</v>
      </c>
      <c r="E68" s="30">
        <v>78</v>
      </c>
      <c r="F68" s="30">
        <v>0.15</v>
      </c>
      <c r="G68" s="30">
        <v>0.15</v>
      </c>
      <c r="H68" s="30">
        <v>0.15</v>
      </c>
      <c r="I68" s="30">
        <v>0.15</v>
      </c>
      <c r="J68" s="1">
        <v>0</v>
      </c>
      <c r="K68" s="1">
        <v>0</v>
      </c>
      <c r="M68"/>
    </row>
    <row r="69" spans="1:20" x14ac:dyDescent="0.3">
      <c r="A69" s="35" t="s">
        <v>487</v>
      </c>
      <c r="B69" s="51">
        <f t="shared" ref="B69:B73" si="16">C68</f>
        <v>0.45833333333333331</v>
      </c>
      <c r="C69" s="51">
        <f t="shared" si="15"/>
        <v>0.48958333333333331</v>
      </c>
      <c r="D69" s="36">
        <v>3.125E-2</v>
      </c>
      <c r="E69" s="37"/>
      <c r="F69" s="37">
        <v>0.2</v>
      </c>
      <c r="G69" s="37">
        <v>0.2</v>
      </c>
      <c r="H69" s="37">
        <v>0.2</v>
      </c>
      <c r="I69" s="37">
        <v>0.2</v>
      </c>
      <c r="J69" s="61">
        <v>0.2</v>
      </c>
      <c r="K69" s="61">
        <v>0</v>
      </c>
      <c r="M69"/>
    </row>
    <row r="70" spans="1:20" x14ac:dyDescent="0.3">
      <c r="A70" t="s">
        <v>1103</v>
      </c>
      <c r="B70" s="49">
        <f t="shared" si="16"/>
        <v>0.48958333333333331</v>
      </c>
      <c r="C70" s="49">
        <f t="shared" si="15"/>
        <v>0.57291666666666663</v>
      </c>
      <c r="D70" s="32">
        <v>8.3333333333333329E-2</v>
      </c>
      <c r="E70" s="30">
        <v>96</v>
      </c>
      <c r="M70"/>
    </row>
    <row r="71" spans="1:20" x14ac:dyDescent="0.3">
      <c r="A71" t="s">
        <v>1113</v>
      </c>
      <c r="B71" s="49">
        <f t="shared" si="16"/>
        <v>0.57291666666666663</v>
      </c>
      <c r="C71" s="49">
        <f t="shared" si="15"/>
        <v>0.61458333333333326</v>
      </c>
      <c r="D71" s="32">
        <v>4.1666666666666664E-2</v>
      </c>
      <c r="E71" s="30">
        <v>46</v>
      </c>
      <c r="F71" s="30">
        <v>0.1</v>
      </c>
      <c r="G71" s="30">
        <v>0</v>
      </c>
      <c r="H71" s="30">
        <v>0.1</v>
      </c>
      <c r="I71" s="30">
        <v>0.1</v>
      </c>
      <c r="J71" s="1">
        <v>0</v>
      </c>
      <c r="K71" s="1">
        <v>0</v>
      </c>
      <c r="M71"/>
    </row>
    <row r="72" spans="1:20" x14ac:dyDescent="0.3">
      <c r="A72" t="s">
        <v>1104</v>
      </c>
      <c r="B72" s="49">
        <f t="shared" si="16"/>
        <v>0.61458333333333326</v>
      </c>
      <c r="C72" s="49">
        <f t="shared" si="15"/>
        <v>0.63541666666666663</v>
      </c>
      <c r="D72" s="32">
        <v>2.0833333333333332E-2</v>
      </c>
      <c r="E72" s="30">
        <v>21</v>
      </c>
      <c r="F72" s="30">
        <v>0.05</v>
      </c>
      <c r="G72" s="30">
        <v>0</v>
      </c>
      <c r="H72" s="30">
        <v>0.05</v>
      </c>
      <c r="I72" s="30">
        <v>0.05</v>
      </c>
      <c r="J72" s="1">
        <v>0</v>
      </c>
      <c r="K72" s="1">
        <v>0</v>
      </c>
      <c r="M72"/>
    </row>
    <row r="73" spans="1:20" x14ac:dyDescent="0.3">
      <c r="A73" t="s">
        <v>1190</v>
      </c>
      <c r="B73" s="49">
        <f t="shared" si="16"/>
        <v>0.63541666666666663</v>
      </c>
      <c r="C73" s="49">
        <f t="shared" si="15"/>
        <v>0.65625</v>
      </c>
      <c r="D73" s="32">
        <v>2.0833333333333332E-2</v>
      </c>
      <c r="E73" s="30">
        <f>30+46+39</f>
        <v>115</v>
      </c>
      <c r="F73" s="30">
        <v>0.05</v>
      </c>
      <c r="G73" s="30">
        <v>0</v>
      </c>
      <c r="H73" s="30">
        <v>0.05</v>
      </c>
      <c r="I73" s="30">
        <v>0.05</v>
      </c>
      <c r="J73" s="1">
        <v>0</v>
      </c>
      <c r="K73" s="1">
        <v>0</v>
      </c>
      <c r="M73" s="30">
        <f>SUM(E67:E73)</f>
        <v>431</v>
      </c>
      <c r="N73" s="30">
        <f>(M73/4)/2</f>
        <v>53.875</v>
      </c>
      <c r="O73" s="30" t="s">
        <v>1118</v>
      </c>
    </row>
    <row r="74" spans="1:20" x14ac:dyDescent="0.3">
      <c r="A74" s="57" t="s">
        <v>1191</v>
      </c>
      <c r="B74" s="58">
        <f t="shared" ref="B74" si="17">C73</f>
        <v>0.65625</v>
      </c>
      <c r="C74" s="58">
        <f t="shared" ref="C74" si="18">B74+D74</f>
        <v>0.67708333333333337</v>
      </c>
      <c r="D74" s="59">
        <v>2.0833333333333332E-2</v>
      </c>
      <c r="E74" s="60">
        <v>0.05</v>
      </c>
      <c r="F74" s="15">
        <v>0.05</v>
      </c>
      <c r="G74" s="60">
        <v>0.05</v>
      </c>
      <c r="H74" s="60">
        <v>0.05</v>
      </c>
      <c r="I74" s="60">
        <v>0.05</v>
      </c>
      <c r="J74" s="15">
        <v>0</v>
      </c>
      <c r="K74" s="15">
        <v>0</v>
      </c>
      <c r="M74"/>
    </row>
    <row r="75" spans="1:20" x14ac:dyDescent="0.3">
      <c r="A75" t="s">
        <v>1192</v>
      </c>
      <c r="D75" s="32"/>
      <c r="F75" s="30">
        <f>SUM(F67:F74)</f>
        <v>0.75000000000000011</v>
      </c>
      <c r="G75" s="30">
        <f t="shared" ref="G75:K75" si="19">SUM(G67:G74)</f>
        <v>0.39999999999999997</v>
      </c>
      <c r="H75" s="30">
        <f t="shared" si="19"/>
        <v>0.75000000000000011</v>
      </c>
      <c r="I75" s="30">
        <f t="shared" si="19"/>
        <v>0.75000000000000011</v>
      </c>
      <c r="J75" s="30">
        <f t="shared" si="19"/>
        <v>0.2</v>
      </c>
      <c r="K75" s="30">
        <f t="shared" si="19"/>
        <v>0</v>
      </c>
      <c r="M75" s="30"/>
      <c r="N75" s="30"/>
      <c r="O75" s="30"/>
    </row>
    <row r="76" spans="1:20" x14ac:dyDescent="0.3">
      <c r="D76" s="32"/>
      <c r="M76" s="30"/>
      <c r="N76" s="30"/>
      <c r="O76" s="30"/>
    </row>
    <row r="77" spans="1:20" ht="15" thickBot="1" x14ac:dyDescent="0.35">
      <c r="A77" s="33" t="s">
        <v>1195</v>
      </c>
      <c r="B77" s="50" t="s">
        <v>482</v>
      </c>
      <c r="C77" s="50" t="s">
        <v>483</v>
      </c>
      <c r="D77" s="34" t="s">
        <v>322</v>
      </c>
      <c r="E77" s="34" t="s">
        <v>1111</v>
      </c>
      <c r="F77" s="34" t="s">
        <v>1187</v>
      </c>
      <c r="G77" s="34" t="s">
        <v>22</v>
      </c>
      <c r="H77" s="34" t="s">
        <v>23</v>
      </c>
      <c r="I77" s="34" t="s">
        <v>26</v>
      </c>
      <c r="J77" s="34" t="s">
        <v>25</v>
      </c>
      <c r="K77" s="34" t="s">
        <v>24</v>
      </c>
      <c r="M77" s="30"/>
      <c r="N77" s="30"/>
      <c r="O77" s="30"/>
    </row>
    <row r="78" spans="1:20" ht="15" thickTop="1" x14ac:dyDescent="0.3">
      <c r="A78" t="s">
        <v>339</v>
      </c>
      <c r="B78" s="49">
        <v>0.33333333333333331</v>
      </c>
      <c r="C78" s="49">
        <f>B78+D78</f>
        <v>0.375</v>
      </c>
      <c r="D78" s="32">
        <v>4.1666666666666664E-2</v>
      </c>
      <c r="E78" s="30">
        <v>81</v>
      </c>
      <c r="F78" s="30">
        <v>0.1</v>
      </c>
      <c r="G78" s="30">
        <v>0</v>
      </c>
      <c r="H78" s="30">
        <v>0.1</v>
      </c>
      <c r="I78" s="30">
        <v>0.1</v>
      </c>
      <c r="J78" s="1">
        <v>0</v>
      </c>
      <c r="K78" s="1">
        <v>0</v>
      </c>
      <c r="M78"/>
      <c r="R78" s="49">
        <v>0.33333333333333331</v>
      </c>
      <c r="S78" s="49">
        <v>0.375</v>
      </c>
      <c r="T78" t="s">
        <v>1331</v>
      </c>
    </row>
    <row r="79" spans="1:20" x14ac:dyDescent="0.3">
      <c r="A79" t="s">
        <v>1114</v>
      </c>
      <c r="B79" s="49">
        <f>C78</f>
        <v>0.375</v>
      </c>
      <c r="C79" s="49">
        <f t="shared" ref="C79:C84" si="20">B79+D79</f>
        <v>0.45833333333333331</v>
      </c>
      <c r="D79" s="32">
        <v>8.3333333333333329E-2</v>
      </c>
      <c r="E79" s="30">
        <v>125</v>
      </c>
      <c r="F79" s="30">
        <v>0.2</v>
      </c>
      <c r="G79" s="30">
        <v>0</v>
      </c>
      <c r="H79" s="30">
        <v>0.2</v>
      </c>
      <c r="I79" s="30">
        <v>0.2</v>
      </c>
      <c r="J79" s="1">
        <v>0</v>
      </c>
      <c r="K79" s="1">
        <v>0</v>
      </c>
      <c r="M79"/>
      <c r="R79" s="49">
        <v>0.375</v>
      </c>
      <c r="S79" s="49">
        <v>0.45833333333333331</v>
      </c>
      <c r="T79" t="s">
        <v>1332</v>
      </c>
    </row>
    <row r="80" spans="1:20" x14ac:dyDescent="0.3">
      <c r="A80" t="s">
        <v>1112</v>
      </c>
      <c r="B80" s="49">
        <f t="shared" ref="B80:B84" si="21">C79</f>
        <v>0.45833333333333331</v>
      </c>
      <c r="C80" s="49">
        <f t="shared" si="20"/>
        <v>0.5</v>
      </c>
      <c r="D80" s="32">
        <v>4.1666666666666664E-2</v>
      </c>
      <c r="E80" s="30">
        <v>74</v>
      </c>
      <c r="F80" s="30">
        <v>0.1</v>
      </c>
      <c r="G80" s="30">
        <v>0</v>
      </c>
      <c r="H80" s="30">
        <v>0.1</v>
      </c>
      <c r="I80" s="30">
        <v>0.1</v>
      </c>
      <c r="J80" s="1">
        <v>0</v>
      </c>
      <c r="K80" s="1">
        <v>0</v>
      </c>
      <c r="M80"/>
      <c r="R80" s="49">
        <v>0.45833333333333331</v>
      </c>
      <c r="S80" s="49">
        <v>0.5</v>
      </c>
      <c r="T80" t="s">
        <v>1333</v>
      </c>
    </row>
    <row r="81" spans="1:20" x14ac:dyDescent="0.3">
      <c r="A81" s="35" t="s">
        <v>487</v>
      </c>
      <c r="B81" s="51">
        <f t="shared" si="21"/>
        <v>0.5</v>
      </c>
      <c r="C81" s="51">
        <f t="shared" si="20"/>
        <v>0.53125</v>
      </c>
      <c r="D81" s="36">
        <v>3.125E-2</v>
      </c>
      <c r="E81" s="37"/>
      <c r="F81" s="37"/>
      <c r="G81" s="37"/>
      <c r="H81" s="37"/>
      <c r="I81" s="37"/>
      <c r="J81" s="37"/>
      <c r="K81" s="37"/>
      <c r="M81"/>
      <c r="R81" s="51">
        <v>0.5</v>
      </c>
      <c r="S81" s="51">
        <v>0.5625</v>
      </c>
      <c r="T81" s="35" t="s">
        <v>487</v>
      </c>
    </row>
    <row r="82" spans="1:20" x14ac:dyDescent="0.3">
      <c r="A82" t="s">
        <v>1110</v>
      </c>
      <c r="B82" s="49">
        <f t="shared" si="21"/>
        <v>0.53125</v>
      </c>
      <c r="C82" s="49">
        <f t="shared" si="20"/>
        <v>0.57291666666666663</v>
      </c>
      <c r="D82" s="32">
        <v>4.1666666666666664E-2</v>
      </c>
      <c r="F82" s="30">
        <v>0.1</v>
      </c>
      <c r="G82" s="30">
        <v>0.1</v>
      </c>
      <c r="H82" s="30">
        <v>0.1</v>
      </c>
      <c r="I82" s="30">
        <v>0.1</v>
      </c>
      <c r="J82" s="1">
        <v>0.1</v>
      </c>
      <c r="K82" s="1">
        <v>0.1</v>
      </c>
      <c r="M82"/>
      <c r="R82" s="49">
        <v>0.5625</v>
      </c>
      <c r="S82" s="49">
        <v>0.64583333333333337</v>
      </c>
      <c r="T82" t="s">
        <v>1334</v>
      </c>
    </row>
    <row r="83" spans="1:20" x14ac:dyDescent="0.3">
      <c r="A83" t="s">
        <v>491</v>
      </c>
      <c r="B83" s="49">
        <f t="shared" si="21"/>
        <v>0.57291666666666663</v>
      </c>
      <c r="C83" s="49">
        <f t="shared" si="20"/>
        <v>0.63541666666666663</v>
      </c>
      <c r="D83" s="32">
        <v>6.25E-2</v>
      </c>
      <c r="E83" s="30">
        <v>143</v>
      </c>
      <c r="F83" s="30">
        <v>0.15</v>
      </c>
      <c r="G83" s="30">
        <v>0.15</v>
      </c>
      <c r="H83" s="30">
        <v>0.15</v>
      </c>
      <c r="I83" s="30">
        <v>0.15</v>
      </c>
      <c r="J83" s="1">
        <v>0</v>
      </c>
      <c r="K83" s="1">
        <v>0</v>
      </c>
      <c r="M83"/>
      <c r="R83" s="58">
        <v>0.64583333333333337</v>
      </c>
      <c r="S83" s="58">
        <v>0.6875</v>
      </c>
      <c r="T83" s="57" t="s">
        <v>1335</v>
      </c>
    </row>
    <row r="84" spans="1:20" x14ac:dyDescent="0.3">
      <c r="A84" s="57" t="s">
        <v>492</v>
      </c>
      <c r="B84" s="58">
        <f t="shared" si="21"/>
        <v>0.63541666666666663</v>
      </c>
      <c r="C84" s="58">
        <f t="shared" si="20"/>
        <v>0.67708333333333326</v>
      </c>
      <c r="D84" s="59">
        <v>4.1666666666666664E-2</v>
      </c>
      <c r="E84" s="60">
        <v>82</v>
      </c>
      <c r="F84" s="60">
        <v>0.1</v>
      </c>
      <c r="G84" s="60">
        <v>0</v>
      </c>
      <c r="H84" s="60">
        <v>0.1</v>
      </c>
      <c r="I84" s="60">
        <v>0.1</v>
      </c>
      <c r="J84" s="15">
        <v>0</v>
      </c>
      <c r="K84" s="15">
        <v>0</v>
      </c>
      <c r="M84" s="30">
        <f>SUM(E78:E84)</f>
        <v>505</v>
      </c>
      <c r="N84" s="30">
        <f>(M84/4)/2</f>
        <v>63.125</v>
      </c>
      <c r="O84" s="30" t="s">
        <v>1119</v>
      </c>
    </row>
    <row r="85" spans="1:20" x14ac:dyDescent="0.3">
      <c r="A85" t="s">
        <v>1196</v>
      </c>
      <c r="D85" s="32"/>
      <c r="F85" s="30">
        <f>SUM(F77:F84)</f>
        <v>0.75</v>
      </c>
      <c r="G85" s="30">
        <f t="shared" ref="G85" si="22">SUM(G77:G84)</f>
        <v>0.25</v>
      </c>
      <c r="H85" s="30">
        <f t="shared" ref="H85" si="23">SUM(H77:H84)</f>
        <v>0.75</v>
      </c>
      <c r="I85" s="30">
        <f t="shared" ref="I85" si="24">SUM(I77:I84)</f>
        <v>0.75</v>
      </c>
      <c r="J85" s="30">
        <f t="shared" ref="J85" si="25">SUM(J77:J84)</f>
        <v>0.1</v>
      </c>
      <c r="K85" s="30">
        <f t="shared" ref="K85" si="26">SUM(K77:K84)</f>
        <v>0.1</v>
      </c>
      <c r="M85" s="30"/>
      <c r="N85" s="30"/>
      <c r="O85" s="30"/>
    </row>
    <row r="86" spans="1:20" x14ac:dyDescent="0.3">
      <c r="D86" s="32"/>
      <c r="J86" s="1"/>
      <c r="K86" s="1"/>
      <c r="M86" s="30"/>
      <c r="N86" s="30"/>
      <c r="O86" s="30"/>
    </row>
    <row r="87" spans="1:20" x14ac:dyDescent="0.3">
      <c r="D87" s="32"/>
      <c r="J87" s="1"/>
      <c r="K87" s="1"/>
      <c r="M87" s="30"/>
      <c r="N87" s="30"/>
      <c r="O87" s="30"/>
    </row>
    <row r="88" spans="1:20" ht="15" thickBot="1" x14ac:dyDescent="0.35">
      <c r="A88" s="33" t="s">
        <v>1197</v>
      </c>
      <c r="B88" s="50" t="s">
        <v>482</v>
      </c>
      <c r="C88" s="50" t="s">
        <v>483</v>
      </c>
      <c r="D88" s="34" t="s">
        <v>322</v>
      </c>
      <c r="E88" s="34" t="s">
        <v>1111</v>
      </c>
      <c r="F88" s="34" t="s">
        <v>1187</v>
      </c>
      <c r="G88" s="34" t="s">
        <v>22</v>
      </c>
      <c r="H88" s="34" t="s">
        <v>23</v>
      </c>
      <c r="I88" s="34" t="s">
        <v>26</v>
      </c>
      <c r="J88" s="34" t="s">
        <v>25</v>
      </c>
      <c r="K88" s="34" t="s">
        <v>24</v>
      </c>
      <c r="M88" s="30"/>
      <c r="N88" s="30"/>
      <c r="O88" s="30"/>
    </row>
    <row r="89" spans="1:20" ht="15" thickTop="1" x14ac:dyDescent="0.3">
      <c r="A89" t="s">
        <v>1105</v>
      </c>
      <c r="B89" s="49">
        <v>0.33333333333333331</v>
      </c>
      <c r="C89" s="49">
        <f>B89+D89</f>
        <v>0.4375</v>
      </c>
      <c r="D89" s="32">
        <v>0.10416666666666667</v>
      </c>
      <c r="E89" s="30">
        <v>127</v>
      </c>
      <c r="F89" s="30">
        <v>0.25</v>
      </c>
      <c r="G89" s="30">
        <v>0</v>
      </c>
      <c r="H89" s="30">
        <v>0.25</v>
      </c>
      <c r="I89" s="30">
        <v>0.25</v>
      </c>
      <c r="J89" s="1">
        <v>0</v>
      </c>
      <c r="K89" s="1">
        <v>0</v>
      </c>
      <c r="M89"/>
    </row>
    <row r="90" spans="1:20" x14ac:dyDescent="0.3">
      <c r="A90" t="s">
        <v>1106</v>
      </c>
      <c r="B90" s="49">
        <f>C89</f>
        <v>0.4375</v>
      </c>
      <c r="C90" s="49">
        <f t="shared" ref="C90:C94" si="27">B90+D90</f>
        <v>0.47916666666666669</v>
      </c>
      <c r="D90" s="32">
        <v>4.1666666666666664E-2</v>
      </c>
      <c r="F90" s="30">
        <v>0.1</v>
      </c>
      <c r="G90" s="30">
        <v>0.1</v>
      </c>
      <c r="H90" s="30">
        <v>0.1</v>
      </c>
      <c r="I90" s="30">
        <v>0.1</v>
      </c>
      <c r="J90" s="1">
        <v>0</v>
      </c>
      <c r="K90" s="1">
        <v>0</v>
      </c>
      <c r="M90"/>
    </row>
    <row r="91" spans="1:20" x14ac:dyDescent="0.3">
      <c r="A91" s="35" t="s">
        <v>487</v>
      </c>
      <c r="B91" s="51">
        <f t="shared" ref="B91:B94" si="28">C90</f>
        <v>0.47916666666666669</v>
      </c>
      <c r="C91" s="51">
        <f t="shared" si="27"/>
        <v>0.51041666666666674</v>
      </c>
      <c r="D91" s="36">
        <v>3.125E-2</v>
      </c>
      <c r="E91" s="37"/>
      <c r="F91" s="37"/>
      <c r="G91" s="37"/>
      <c r="H91" s="37"/>
      <c r="I91" s="37"/>
      <c r="J91" s="37"/>
      <c r="K91" s="37"/>
      <c r="M91"/>
    </row>
    <row r="92" spans="1:20" x14ac:dyDescent="0.3">
      <c r="A92" t="s">
        <v>1109</v>
      </c>
      <c r="B92" s="49">
        <f t="shared" si="28"/>
        <v>0.51041666666666674</v>
      </c>
      <c r="C92" s="49">
        <f t="shared" si="27"/>
        <v>0.55208333333333337</v>
      </c>
      <c r="D92" s="32">
        <v>4.1666666666666664E-2</v>
      </c>
      <c r="F92" s="30">
        <v>0.1</v>
      </c>
      <c r="G92" s="30">
        <v>0.1</v>
      </c>
      <c r="H92" s="30">
        <v>0.1</v>
      </c>
      <c r="I92" s="30">
        <v>0.1</v>
      </c>
      <c r="J92" s="1">
        <v>0.1</v>
      </c>
      <c r="K92" s="1">
        <v>0.1</v>
      </c>
      <c r="M92"/>
    </row>
    <row r="93" spans="1:20" x14ac:dyDescent="0.3">
      <c r="A93" t="s">
        <v>1108</v>
      </c>
      <c r="B93" s="49">
        <f t="shared" si="28"/>
        <v>0.55208333333333337</v>
      </c>
      <c r="C93" s="49">
        <f t="shared" si="27"/>
        <v>0.59375</v>
      </c>
      <c r="D93" s="32">
        <v>4.1666666666666664E-2</v>
      </c>
      <c r="F93" s="30">
        <v>0.1</v>
      </c>
      <c r="G93" s="30">
        <v>0.1</v>
      </c>
      <c r="H93" s="30">
        <v>0.1</v>
      </c>
      <c r="I93" s="30">
        <v>0.1</v>
      </c>
      <c r="J93" s="1">
        <v>0.1</v>
      </c>
      <c r="K93" s="1">
        <v>0.1</v>
      </c>
      <c r="M93"/>
    </row>
    <row r="94" spans="1:20" x14ac:dyDescent="0.3">
      <c r="A94" t="s">
        <v>1107</v>
      </c>
      <c r="B94" s="49">
        <f t="shared" si="28"/>
        <v>0.59375</v>
      </c>
      <c r="C94" s="49">
        <f t="shared" si="27"/>
        <v>0.65625</v>
      </c>
      <c r="D94" s="32">
        <v>6.25E-2</v>
      </c>
      <c r="F94" s="30">
        <v>0.15</v>
      </c>
      <c r="G94" s="30">
        <v>0.15</v>
      </c>
      <c r="H94" s="30">
        <v>0.15</v>
      </c>
      <c r="I94" s="30">
        <v>0.15</v>
      </c>
      <c r="J94" s="1">
        <v>0.15</v>
      </c>
      <c r="K94" s="1">
        <v>0.15</v>
      </c>
      <c r="M94"/>
    </row>
    <row r="95" spans="1:20" x14ac:dyDescent="0.3">
      <c r="A95" s="57" t="s">
        <v>19</v>
      </c>
      <c r="B95" s="58">
        <f t="shared" ref="B95" si="29">C94</f>
        <v>0.65625</v>
      </c>
      <c r="C95" s="58">
        <f t="shared" ref="C95" si="30">B95+D95</f>
        <v>0.67708333333333337</v>
      </c>
      <c r="D95" s="59">
        <v>2.0833333333333332E-2</v>
      </c>
      <c r="E95" s="60"/>
      <c r="F95" s="60">
        <v>0.05</v>
      </c>
      <c r="G95" s="15">
        <v>0.05</v>
      </c>
      <c r="H95" s="15">
        <v>0.05</v>
      </c>
      <c r="I95" s="15">
        <v>0.05</v>
      </c>
      <c r="J95" s="15">
        <v>0</v>
      </c>
      <c r="K95" s="15">
        <v>0.05</v>
      </c>
      <c r="M95" s="30">
        <f>SUM(E89:E94)</f>
        <v>127</v>
      </c>
      <c r="N95" s="30">
        <f>(M95/4+20)/2</f>
        <v>25.875</v>
      </c>
      <c r="O95" s="30" t="s">
        <v>1118</v>
      </c>
    </row>
    <row r="96" spans="1:20" x14ac:dyDescent="0.3">
      <c r="A96" t="s">
        <v>1198</v>
      </c>
      <c r="D96" s="32"/>
      <c r="F96" s="30">
        <f>SUM(F88:F95)</f>
        <v>0.75</v>
      </c>
      <c r="G96" s="30">
        <f t="shared" ref="G96" si="31">SUM(G88:G95)</f>
        <v>0.50000000000000011</v>
      </c>
      <c r="H96" s="30">
        <f t="shared" ref="H96" si="32">SUM(H88:H95)</f>
        <v>0.75</v>
      </c>
      <c r="I96" s="30">
        <f t="shared" ref="I96" si="33">SUM(I88:I95)</f>
        <v>0.75</v>
      </c>
      <c r="J96" s="30">
        <f t="shared" ref="J96" si="34">SUM(J88:J95)</f>
        <v>0.35</v>
      </c>
      <c r="K96" s="30">
        <f t="shared" ref="K96" si="35">SUM(K88:K95)</f>
        <v>0.39999999999999997</v>
      </c>
    </row>
    <row r="98" spans="1:11" x14ac:dyDescent="0.3">
      <c r="A98" t="s">
        <v>319</v>
      </c>
      <c r="F98" s="30">
        <f>F64+F75+F85+F96</f>
        <v>3</v>
      </c>
      <c r="G98" s="30">
        <f t="shared" ref="G98:K98" si="36">G64+G75+G85+G96</f>
        <v>1.4500000000000002</v>
      </c>
      <c r="H98" s="30">
        <f t="shared" si="36"/>
        <v>3</v>
      </c>
      <c r="I98" s="30">
        <f t="shared" si="36"/>
        <v>3</v>
      </c>
      <c r="J98" s="30">
        <f t="shared" si="36"/>
        <v>0.95</v>
      </c>
      <c r="K98" s="30">
        <f t="shared" si="36"/>
        <v>0.95</v>
      </c>
    </row>
  </sheetData>
  <pageMargins left="0.35" right="0.25" top="0.75" bottom="0.75" header="0.3" footer="0.3"/>
  <pageSetup orientation="portrait" horizontalDpi="300" verticalDpi="300" r:id="rId1"/>
  <headerFooter>
    <oddHeader>&amp;R2021 Wastewater Exam Cram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a5565b1-de48-42e6-abb0-385322032a4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DECDBE9922D645BF999A72FA0D29D3" ma:contentTypeVersion="16" ma:contentTypeDescription="Create a new document." ma:contentTypeScope="" ma:versionID="7a4e9882d9bd9f797bb62f6f10ec81e1">
  <xsd:schema xmlns:xsd="http://www.w3.org/2001/XMLSchema" xmlns:xs="http://www.w3.org/2001/XMLSchema" xmlns:p="http://schemas.microsoft.com/office/2006/metadata/properties" xmlns:ns3="ea5565b1-de48-42e6-abb0-385322032a4e" xmlns:ns4="f0da3c1e-56a7-4a5a-926a-adab090e653b" targetNamespace="http://schemas.microsoft.com/office/2006/metadata/properties" ma:root="true" ma:fieldsID="45f3170732cdc79fce347a5278bb28fa" ns3:_="" ns4:_="">
    <xsd:import namespace="ea5565b1-de48-42e6-abb0-385322032a4e"/>
    <xsd:import namespace="f0da3c1e-56a7-4a5a-926a-adab090e653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ServiceOCR"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565b1-de48-42e6-abb0-385322032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a3c1e-56a7-4a5a-926a-adab090e653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42FDE5-F381-416A-B179-014A54A2A8F2}">
  <ds:schemaRefs>
    <ds:schemaRef ds:uri="http://purl.org/dc/elements/1.1/"/>
    <ds:schemaRef ds:uri="ea5565b1-de48-42e6-abb0-385322032a4e"/>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f0da3c1e-56a7-4a5a-926a-adab090e653b"/>
  </ds:schemaRefs>
</ds:datastoreItem>
</file>

<file path=customXml/itemProps2.xml><?xml version="1.0" encoding="utf-8"?>
<ds:datastoreItem xmlns:ds="http://schemas.openxmlformats.org/officeDocument/2006/customXml" ds:itemID="{A2A3B028-C7CF-4278-A99D-8BD2CEDFAA57}">
  <ds:schemaRefs>
    <ds:schemaRef ds:uri="http://schemas.microsoft.com/sharepoint/v3/contenttype/forms"/>
  </ds:schemaRefs>
</ds:datastoreItem>
</file>

<file path=customXml/itemProps3.xml><?xml version="1.0" encoding="utf-8"?>
<ds:datastoreItem xmlns:ds="http://schemas.openxmlformats.org/officeDocument/2006/customXml" ds:itemID="{FB792E30-144F-4371-85BF-5B0BA30F4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565b1-de48-42e6-abb0-385322032a4e"/>
    <ds:schemaRef ds:uri="f0da3c1e-56a7-4a5a-926a-adab090e6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2025NewCourses</vt:lpstr>
      <vt:lpstr>Learning Paths</vt:lpstr>
      <vt:lpstr>Wastewater Short School</vt:lpstr>
      <vt:lpstr>Water Short School</vt:lpstr>
      <vt:lpstr>Exam Cram</vt:lpstr>
      <vt:lpstr>'2025NewCourses'!Print_Area</vt:lpstr>
      <vt:lpstr>'Exam Cram'!Print_Area</vt:lpstr>
      <vt:lpstr>'Learning Paths'!Print_Area</vt:lpstr>
      <vt:lpstr>'Wastewater Short School'!Print_Area</vt:lpstr>
      <vt:lpstr>'Water Short School'!Print_Area</vt:lpstr>
      <vt:lpstr>'2025NewCourses'!Print_Titles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Indigo Water Group's Online Training Class Approvals (2025)</dc:title>
  <dc:creator>Sidney</dc:creator>
  <cp:lastModifiedBy>Chad Cloman</cp:lastModifiedBy>
  <cp:lastPrinted>2025-01-09T17:23:27Z</cp:lastPrinted>
  <dcterms:created xsi:type="dcterms:W3CDTF">2013-10-16T14:14:07Z</dcterms:created>
  <dcterms:modified xsi:type="dcterms:W3CDTF">2025-01-10T06:34:43Z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0x01010011DECDBE9922D645BF999A72FA0D29D3</vt:lpwstr>
  </property>
</Properties>
</file>