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C:\Users\sidne\Dropbox\Training Presentations\CDPHE Laboratory\"/>
    </mc:Choice>
  </mc:AlternateContent>
  <xr:revisionPtr revIDLastSave="0" documentId="8_{42FC0065-5988-4278-92CA-141F08C92145}" xr6:coauthVersionLast="47" xr6:coauthVersionMax="47" xr10:uidLastSave="{00000000-0000-0000-0000-000000000000}"/>
  <bookViews>
    <workbookView xWindow="28680" yWindow="-120" windowWidth="29040" windowHeight="15720" xr2:uid="{00000000-000D-0000-FFFF-FFFF00000000}"/>
  </bookViews>
  <sheets>
    <sheet name="BOD Benchsheet" sheetId="1" r:id="rId1"/>
    <sheet name="Blank Sheet" sheetId="2" r:id="rId2"/>
  </sheets>
  <definedNames>
    <definedName name="AtLeast1EffluentResult" localSheetId="1">'Blank Sheet'!$N$20</definedName>
    <definedName name="AtLeast1EffluentResult">'BOD Benchsheet'!$N$20</definedName>
    <definedName name="AtLeast1InfluentResult" localSheetId="1">'Blank Sheet'!$N$23</definedName>
    <definedName name="AtLeast1InfluentResult">'BOD Benchsheet'!$N$23</definedName>
    <definedName name="AtLeast1Sample3Result" localSheetId="1">'Blank Sheet'!$N$27</definedName>
    <definedName name="AtLeast1Sample3Result">'BOD Benchsheet'!$N$27</definedName>
    <definedName name="AtLeast1Sample4Result" localSheetId="1">'Blank Sheet'!$N$30</definedName>
    <definedName name="AtLeast1Sample4Result">'BOD Benchsheet'!$N$30</definedName>
    <definedName name="AtLeast1Sample5Result" localSheetId="1">'Blank Sheet'!$N$33</definedName>
    <definedName name="AtLeast1Sample5Result">'BOD Benchsheet'!$N$33</definedName>
    <definedName name="AtLeast1Sample6Result" localSheetId="1">'Blank Sheet'!$N$36</definedName>
    <definedName name="AtLeast1Sample6Result">'BOD Benchsheet'!$N$36</definedName>
    <definedName name="AtLeast1Sample7Result" localSheetId="1">'Blank Sheet'!$N$39</definedName>
    <definedName name="AtLeast1Sample7Result">'BOD Benchsheet'!$N$39</definedName>
    <definedName name="Blank1_Depletion" localSheetId="1">'Blank Sheet'!$I$12</definedName>
    <definedName name="Blank1_Depletion">'BOD Benchsheet'!$I$12</definedName>
    <definedName name="Blank1_DepletionLessThan0.2" localSheetId="1">'Blank Sheet'!$J$12</definedName>
    <definedName name="Blank1_DepletionLessThan0.2">'BOD Benchsheet'!$J$12</definedName>
    <definedName name="Blank1_DOf" localSheetId="1">'Blank Sheet'!$H$12</definedName>
    <definedName name="Blank1_DOf">'BOD Benchsheet'!$H$12</definedName>
    <definedName name="Blank1_DOi" localSheetId="1">'Blank Sheet'!$G$12</definedName>
    <definedName name="Blank1_DOi">'BOD Benchsheet'!$G$12</definedName>
    <definedName name="Blank1_Seed" localSheetId="1">'Blank Sheet'!$L$12</definedName>
    <definedName name="Blank1_Seed">'BOD Benchsheet'!$L$12</definedName>
    <definedName name="Blank1_Seed_Volume_Added" localSheetId="1">'Blank Sheet'!$F$12</definedName>
    <definedName name="Blank1_Seed_Volume_Added">'BOD Benchsheet'!$F$12</definedName>
    <definedName name="Blank1_Volume" localSheetId="1">'Blank Sheet'!$D$12</definedName>
    <definedName name="Blank1_Volume">'BOD Benchsheet'!$D$12</definedName>
    <definedName name="Blank1_VolumeSufficient" localSheetId="1">'Blank Sheet'!$K$12</definedName>
    <definedName name="Blank1_VolumeSufficient">'BOD Benchsheet'!$K$12</definedName>
    <definedName name="Blank2_Depletion" localSheetId="1">'Blank Sheet'!$I$13</definedName>
    <definedName name="Blank2_Depletion">'BOD Benchsheet'!$I$13</definedName>
    <definedName name="Blank2_DOf" localSheetId="1">'Blank Sheet'!$H$13</definedName>
    <definedName name="Blank2_DOf">'BOD Benchsheet'!$H$13</definedName>
    <definedName name="Blank2_DOi" localSheetId="1">'Blank Sheet'!$G$13</definedName>
    <definedName name="Blank2_DOi">'BOD Benchsheet'!$G$13</definedName>
    <definedName name="Blank2_Seed_Volume_Added" localSheetId="1">'Blank Sheet'!$F$13</definedName>
    <definedName name="Blank2_Seed_Volume_Added">'BOD Benchsheet'!$F$13</definedName>
    <definedName name="Blank2_Volume" localSheetId="1">'Blank Sheet'!$D$13</definedName>
    <definedName name="Blank2_Volume">'BOD Benchsheet'!$D$13</definedName>
    <definedName name="Effluent_1_Seed_Volume" localSheetId="1">'Blank Sheet'!$F$20</definedName>
    <definedName name="Effluent_1_Seed_Volume">'BOD Benchsheet'!$F$20</definedName>
    <definedName name="Effluent_1_Volume" localSheetId="1">'Blank Sheet'!$D$20</definedName>
    <definedName name="Effluent_1_Volume">'BOD Benchsheet'!$D$20</definedName>
    <definedName name="Effluent_2_Seed_Volume" localSheetId="1">'Blank Sheet'!$F$21</definedName>
    <definedName name="Effluent_2_Seed_Volume">'BOD Benchsheet'!$F$21</definedName>
    <definedName name="Effluent_2_Volume" localSheetId="1">'Blank Sheet'!$D$21</definedName>
    <definedName name="Effluent_2_Volume">'BOD Benchsheet'!$D$21</definedName>
    <definedName name="Effluent_3_Seed_Volume" localSheetId="1">'Blank Sheet'!$F$22</definedName>
    <definedName name="Effluent_3_Seed_Volume">'BOD Benchsheet'!$F$22</definedName>
    <definedName name="Effluent_3_Volume" localSheetId="1">'Blank Sheet'!$D$22</definedName>
    <definedName name="Effluent_3_Volume">'BOD Benchsheet'!$D$22</definedName>
    <definedName name="Effluent1_Depletion" localSheetId="1">'Blank Sheet'!$I$20</definedName>
    <definedName name="Effluent1_Depletion">'BOD Benchsheet'!$I$20</definedName>
    <definedName name="Effluent1_DepletionOK" localSheetId="1">'Blank Sheet'!$J$20</definedName>
    <definedName name="Effluent1_DepletionOK">'BOD Benchsheet'!$J$20</definedName>
    <definedName name="Effluent1_DOf" localSheetId="1">'Blank Sheet'!$H$20</definedName>
    <definedName name="Effluent1_DOf">'BOD Benchsheet'!$H$20</definedName>
    <definedName name="Effluent1_DOi" localSheetId="1">'Blank Sheet'!$G$20</definedName>
    <definedName name="Effluent1_DOi">'BOD Benchsheet'!$G$20</definedName>
    <definedName name="Effluent1VolumeMoreThan270mL" localSheetId="1">'Blank Sheet'!$K$20</definedName>
    <definedName name="Effluent1VolumeMoreThan270mL">'BOD Benchsheet'!$K$20</definedName>
    <definedName name="Effluent2_Depletion" localSheetId="1">'Blank Sheet'!$I$21</definedName>
    <definedName name="Effluent2_Depletion">'BOD Benchsheet'!$I$21</definedName>
    <definedName name="Effluent2_DepletionOK" localSheetId="1">'Blank Sheet'!$J$21</definedName>
    <definedName name="Effluent2_DepletionOK">'BOD Benchsheet'!$J$21</definedName>
    <definedName name="Effluent2_DOf" localSheetId="1">'Blank Sheet'!$H$21</definedName>
    <definedName name="Effluent2_DOf">'BOD Benchsheet'!$H$21</definedName>
    <definedName name="Effluent2_DOi" localSheetId="1">'Blank Sheet'!$G$21</definedName>
    <definedName name="Effluent2_DOi">'BOD Benchsheet'!$G$21</definedName>
    <definedName name="Effluent2_VolumeOK" localSheetId="1">'Blank Sheet'!$K$21</definedName>
    <definedName name="Effluent2_VolumeOK">'BOD Benchsheet'!$K$21</definedName>
    <definedName name="Effluent3_Depletion" localSheetId="1">'Blank Sheet'!$I$22</definedName>
    <definedName name="Effluent3_Depletion">'BOD Benchsheet'!$I$22</definedName>
    <definedName name="Effluent3_DepletionOK" localSheetId="1">'Blank Sheet'!$J$22</definedName>
    <definedName name="Effluent3_DepletionOK">'BOD Benchsheet'!$J$22</definedName>
    <definedName name="Effluent3_DOf" localSheetId="1">'Blank Sheet'!$H$22</definedName>
    <definedName name="Effluent3_DOf">'BOD Benchsheet'!$H$22</definedName>
    <definedName name="Effluent3_DOi" localSheetId="1">'Blank Sheet'!$G$22</definedName>
    <definedName name="Effluent3_DOi">'BOD Benchsheet'!$G$22</definedName>
    <definedName name="Effluent3_VolumeOK" localSheetId="1">'Blank Sheet'!$K$22</definedName>
    <definedName name="Effluent3_VolumeOK">'BOD Benchsheet'!$K$22</definedName>
    <definedName name="GGA1_Depletion" localSheetId="1">'Blank Sheet'!$I$14</definedName>
    <definedName name="GGA1_Depletion">'BOD Benchsheet'!$I$14</definedName>
    <definedName name="GGA1_DOf" localSheetId="1">'Blank Sheet'!$H$14</definedName>
    <definedName name="GGA1_DOf">'BOD Benchsheet'!$H$14</definedName>
    <definedName name="GGA1_DOi" localSheetId="1">'Blank Sheet'!$G$14</definedName>
    <definedName name="GGA1_DOi">'BOD Benchsheet'!$G$14</definedName>
    <definedName name="GGA1_Result" localSheetId="1">'Blank Sheet'!$O$14</definedName>
    <definedName name="GGA1_Result">'BOD Benchsheet'!$O$14</definedName>
    <definedName name="GGA1_Seed_Volume" localSheetId="1">'Blank Sheet'!$F$14</definedName>
    <definedName name="GGA1_Seed_Volume">'BOD Benchsheet'!$F$14</definedName>
    <definedName name="GGA1_Volume" localSheetId="1">'Blank Sheet'!$D$14</definedName>
    <definedName name="GGA1_Volume">'BOD Benchsheet'!$D$14</definedName>
    <definedName name="GGA1DepletionOK" localSheetId="1">'Blank Sheet'!$J$14</definedName>
    <definedName name="GGA1DepletionOK">'BOD Benchsheet'!$J$14</definedName>
    <definedName name="GGA1VolumeOK" localSheetId="1">'Blank Sheet'!$K$14</definedName>
    <definedName name="GGA1VolumeOK">'BOD Benchsheet'!$K$14</definedName>
    <definedName name="GGA2_Depletion" localSheetId="1">'Blank Sheet'!$I$15</definedName>
    <definedName name="GGA2_Depletion">'BOD Benchsheet'!$I$15</definedName>
    <definedName name="GGA2_DOf" localSheetId="1">'Blank Sheet'!$H$15</definedName>
    <definedName name="GGA2_DOf">'BOD Benchsheet'!$H$15</definedName>
    <definedName name="GGA2_DOi" localSheetId="1">'Blank Sheet'!$G$15</definedName>
    <definedName name="GGA2_DOi">'BOD Benchsheet'!$G$15</definedName>
    <definedName name="GGA2_Seed_Volume" localSheetId="1">'Blank Sheet'!$F$15</definedName>
    <definedName name="GGA2_Seed_Volume">'BOD Benchsheet'!$F$15</definedName>
    <definedName name="GGA2_Volume" localSheetId="1">'Blank Sheet'!$D$15</definedName>
    <definedName name="GGA2_Volume">'BOD Benchsheet'!$D$15</definedName>
    <definedName name="GGA3_Depletion" localSheetId="1">'Blank Sheet'!$I$16</definedName>
    <definedName name="GGA3_Depletion">'BOD Benchsheet'!$I$16</definedName>
    <definedName name="GGA3_DOf" localSheetId="1">'Blank Sheet'!$H$16</definedName>
    <definedName name="GGA3_DOf">'BOD Benchsheet'!$H$16</definedName>
    <definedName name="GGA3_DOi" localSheetId="1">'Blank Sheet'!$G$16</definedName>
    <definedName name="GGA3_DOi">'BOD Benchsheet'!$G$16</definedName>
    <definedName name="GGA3_Result" localSheetId="1">'Blank Sheet'!$O$16</definedName>
    <definedName name="GGA3_Result">'BOD Benchsheet'!$O$16</definedName>
    <definedName name="GGA3_Seed_Volume" localSheetId="1">'Blank Sheet'!$F$16</definedName>
    <definedName name="GGA3_Seed_Volume">'BOD Benchsheet'!$F$16</definedName>
    <definedName name="GGA3_Volume" localSheetId="1">'Blank Sheet'!$D$16</definedName>
    <definedName name="GGA3_Volume">'BOD Benchsheet'!$D$16</definedName>
    <definedName name="GGA3DepletionOK" localSheetId="1">'Blank Sheet'!$J$16</definedName>
    <definedName name="GGA3DepletionOK">'BOD Benchsheet'!$J$16</definedName>
    <definedName name="GGA3VolumeOK" localSheetId="1">'Blank Sheet'!$K$16</definedName>
    <definedName name="GGA3VolumeOK">'BOD Benchsheet'!$K$16</definedName>
    <definedName name="Influent_1_Volume" localSheetId="1">'Blank Sheet'!$D$23</definedName>
    <definedName name="Influent_1_Volume">'BOD Benchsheet'!$D$23</definedName>
    <definedName name="Influent_2_Volume" localSheetId="1">'Blank Sheet'!$D$24</definedName>
    <definedName name="Influent_2_Volume">'BOD Benchsheet'!$D$24</definedName>
    <definedName name="Influent_3_Volume" localSheetId="1">'Blank Sheet'!$D$25</definedName>
    <definedName name="Influent_3_Volume">'BOD Benchsheet'!$D$25</definedName>
    <definedName name="Influent_4_Volume" localSheetId="1">'Blank Sheet'!$D$26</definedName>
    <definedName name="Influent_4_Volume">'BOD Benchsheet'!$D$26</definedName>
    <definedName name="Influent1_Depletion" localSheetId="1">'Blank Sheet'!$I$23</definedName>
    <definedName name="Influent1_Depletion">'BOD Benchsheet'!$I$23</definedName>
    <definedName name="Influent1_DepletionOK" localSheetId="1">'Blank Sheet'!$J$23</definedName>
    <definedName name="Influent1_DepletionOK">'BOD Benchsheet'!$J$23</definedName>
    <definedName name="Influent1_DOf" localSheetId="1">'Blank Sheet'!$H$23</definedName>
    <definedName name="Influent1_DOf">'BOD Benchsheet'!$H$23</definedName>
    <definedName name="Influent1_DOi" localSheetId="1">'Blank Sheet'!$G$23</definedName>
    <definedName name="Influent1_DOi">'BOD Benchsheet'!$G$23</definedName>
    <definedName name="Influent1_Seed_Volume" localSheetId="1">'Blank Sheet'!$F$23</definedName>
    <definedName name="Influent1_Seed_Volume">'BOD Benchsheet'!$F$23</definedName>
    <definedName name="Influent2_Depletion" localSheetId="1">'Blank Sheet'!$I$24</definedName>
    <definedName name="Influent2_Depletion">'BOD Benchsheet'!$I$24</definedName>
    <definedName name="Influent2_DepletionOK" localSheetId="1">'Blank Sheet'!$J$24</definedName>
    <definedName name="Influent2_DepletionOK">'BOD Benchsheet'!$J$24</definedName>
    <definedName name="Influent2_DOf" localSheetId="1">'Blank Sheet'!$H$24</definedName>
    <definedName name="Influent2_DOf">'BOD Benchsheet'!$H$24</definedName>
    <definedName name="Influent2_DOi" localSheetId="1">'Blank Sheet'!$G$24</definedName>
    <definedName name="Influent2_DOi">'BOD Benchsheet'!$G$24</definedName>
    <definedName name="Influent2_Seed_Volume" localSheetId="1">'Blank Sheet'!$F$24</definedName>
    <definedName name="Influent2_Seed_Volume">'BOD Benchsheet'!$F$24</definedName>
    <definedName name="Influent3_Depletion" localSheetId="1">'Blank Sheet'!$I$25</definedName>
    <definedName name="Influent3_Depletion">'BOD Benchsheet'!$I$25</definedName>
    <definedName name="Influent3_DepletionOK" localSheetId="1">'Blank Sheet'!$J$25</definedName>
    <definedName name="Influent3_DepletionOK">'BOD Benchsheet'!$J$25</definedName>
    <definedName name="Influent3_DOf" localSheetId="1">'Blank Sheet'!$H$25</definedName>
    <definedName name="Influent3_DOf">'BOD Benchsheet'!$H$25</definedName>
    <definedName name="Influent3_DOi" localSheetId="1">'Blank Sheet'!$G$25</definedName>
    <definedName name="Influent3_DOi">'BOD Benchsheet'!$G$25</definedName>
    <definedName name="Influent3_Seed_Volume" localSheetId="1">'Blank Sheet'!$F$25</definedName>
    <definedName name="Influent3_Seed_Volume">'BOD Benchsheet'!$F$25</definedName>
    <definedName name="Influent4_Depletion" localSheetId="1">'Blank Sheet'!$I$26</definedName>
    <definedName name="Influent4_Depletion">'BOD Benchsheet'!$I$26</definedName>
    <definedName name="Influent4_DepletionOK" localSheetId="1">'Blank Sheet'!$J$26</definedName>
    <definedName name="Influent4_DepletionOK">'BOD Benchsheet'!$J$26</definedName>
    <definedName name="Influent4_DOf" localSheetId="1">'Blank Sheet'!$H$26</definedName>
    <definedName name="Influent4_DOf">'BOD Benchsheet'!$H$26</definedName>
    <definedName name="Influent4_DOi" localSheetId="1">'Blank Sheet'!$G$26</definedName>
    <definedName name="Influent4_DOi">'BOD Benchsheet'!$G$26</definedName>
    <definedName name="Influent4_Seed_Volume" localSheetId="1">'Blank Sheet'!$F$26</definedName>
    <definedName name="Influent4_Seed_Volume">'BOD Benchsheet'!$F$26</definedName>
    <definedName name="mgL_Seed_Depletion_Expected" localSheetId="1">'Blank Sheet'!$G$7</definedName>
    <definedName name="mgL_Seed_Depletion_Expected">'BOD Benchsheet'!$G$7</definedName>
    <definedName name="mL_Seed_Used_per_Sample" localSheetId="1">'Blank Sheet'!$E$7</definedName>
    <definedName name="mL_Seed_Used_per_Sample">'BOD Benchsheet'!$E$7</definedName>
    <definedName name="Polyseed_1_Volume" localSheetId="1">'Blank Sheet'!$D$17</definedName>
    <definedName name="Polyseed_1_Volume">'BOD Benchsheet'!$D$17</definedName>
    <definedName name="Polyseed_2_Volume" localSheetId="1">'Blank Sheet'!$D$18</definedName>
    <definedName name="Polyseed_2_Volume">'BOD Benchsheet'!$D$18</definedName>
    <definedName name="Polyseed_3_Volume" localSheetId="1">'Blank Sheet'!$D$19</definedName>
    <definedName name="Polyseed_3_Volume">'BOD Benchsheet'!$D$19</definedName>
    <definedName name="_xlnm.Print_Area" localSheetId="1">'Blank Sheet'!$A$1:$O$66</definedName>
    <definedName name="_xlnm.Print_Area" localSheetId="0">'BOD Benchsheet'!$A$1:$O$50</definedName>
    <definedName name="_xlnm.Print_Titles" localSheetId="1">'Blank Sheet'!$A:$I</definedName>
    <definedName name="_xlnm.Print_Titles" localSheetId="0">'BOD Benchsheet'!$A:$I</definedName>
    <definedName name="Sample3_1st_Depletion" localSheetId="1">'Blank Sheet'!$I$27</definedName>
    <definedName name="Sample3_1st_Depletion">'BOD Benchsheet'!$I$27</definedName>
    <definedName name="Sample3_1st_DepletionOK" localSheetId="1">'Blank Sheet'!$J$27</definedName>
    <definedName name="Sample3_1st_DepletionOK">'BOD Benchsheet'!$J$27</definedName>
    <definedName name="Sample3_1st_DOf" localSheetId="1">'Blank Sheet'!$H$27</definedName>
    <definedName name="Sample3_1st_DOf">'BOD Benchsheet'!$H$27</definedName>
    <definedName name="Sample3_1st_DOi" localSheetId="1">'Blank Sheet'!$G$27</definedName>
    <definedName name="Sample3_1st_DOi">'BOD Benchsheet'!$G$27</definedName>
    <definedName name="Sample3_1st_Seed_Volume" localSheetId="1">'Blank Sheet'!$F$27</definedName>
    <definedName name="Sample3_1st_Seed_Volume">'BOD Benchsheet'!$F$27</definedName>
    <definedName name="Sample3_1st_volume" localSheetId="1">'Blank Sheet'!$D$27</definedName>
    <definedName name="Sample3_1st_volume">'BOD Benchsheet'!$D$27</definedName>
    <definedName name="Sample3_2nd_Depletion" localSheetId="1">'Blank Sheet'!$I$28</definedName>
    <definedName name="Sample3_2nd_Depletion">'BOD Benchsheet'!$I$28</definedName>
    <definedName name="Sample3_2nd_DepletionOK" localSheetId="1">'Blank Sheet'!$J$28</definedName>
    <definedName name="Sample3_2nd_DepletionOK">'BOD Benchsheet'!$J$28</definedName>
    <definedName name="Sample3_2nd_DOf" localSheetId="1">'Blank Sheet'!$H$28</definedName>
    <definedName name="Sample3_2nd_DOf">'BOD Benchsheet'!$H$28</definedName>
    <definedName name="Sample3_2nd_DOi" localSheetId="1">'Blank Sheet'!$G$28</definedName>
    <definedName name="Sample3_2nd_DOi">'BOD Benchsheet'!$G$28</definedName>
    <definedName name="Sample3_2nd_Seed_Volume" localSheetId="1">'Blank Sheet'!$F$28</definedName>
    <definedName name="Sample3_2nd_Seed_Volume">'BOD Benchsheet'!$F$28</definedName>
    <definedName name="Sample3_2nd_Volume" localSheetId="1">'Blank Sheet'!$D$28</definedName>
    <definedName name="Sample3_2nd_Volume">'BOD Benchsheet'!$D$28</definedName>
    <definedName name="Sample3_3rd_Depletion" localSheetId="1">'Blank Sheet'!$I$29</definedName>
    <definedName name="Sample3_3rd_Depletion">'BOD Benchsheet'!$I$29</definedName>
    <definedName name="Sample3_3rd_DepletionOK" localSheetId="1">'Blank Sheet'!$J$29</definedName>
    <definedName name="Sample3_3rd_DepletionOK">'BOD Benchsheet'!$J$29</definedName>
    <definedName name="Sample3_3rd_DOf" localSheetId="1">'Blank Sheet'!$H$29</definedName>
    <definedName name="Sample3_3rd_DOf">'BOD Benchsheet'!$H$29</definedName>
    <definedName name="Sample3_3rd_DOi" localSheetId="1">'Blank Sheet'!$G$29</definedName>
    <definedName name="Sample3_3rd_DOi">'BOD Benchsheet'!$G$29</definedName>
    <definedName name="Sample3_3rd_Seed_Volume" localSheetId="1">'Blank Sheet'!$F$29</definedName>
    <definedName name="Sample3_3rd_Seed_Volume">'BOD Benchsheet'!$F$29</definedName>
    <definedName name="Sample3_3rd_Volume" localSheetId="1">'Blank Sheet'!$D$29</definedName>
    <definedName name="Sample3_3rd_Volume">'BOD Benchsheet'!$D$29</definedName>
    <definedName name="Sample4_1st_Depletion" localSheetId="1">'Blank Sheet'!$I$30</definedName>
    <definedName name="Sample4_1st_Depletion">'BOD Benchsheet'!$I$30</definedName>
    <definedName name="Sample4_1st_DepletionOK" localSheetId="1">'Blank Sheet'!$J$30</definedName>
    <definedName name="Sample4_1st_DepletionOK">'BOD Benchsheet'!$J$30</definedName>
    <definedName name="Sample4_1st_DOf" localSheetId="1">'Blank Sheet'!$H$30</definedName>
    <definedName name="Sample4_1st_DOf">'BOD Benchsheet'!$H$30</definedName>
    <definedName name="Sample4_1st_DOi" localSheetId="1">'Blank Sheet'!$G$30</definedName>
    <definedName name="Sample4_1st_DOi">'BOD Benchsheet'!$G$30</definedName>
    <definedName name="Sample4_1st_Seed_Volume" localSheetId="1">'Blank Sheet'!$F$30</definedName>
    <definedName name="Sample4_1st_Seed_Volume">'BOD Benchsheet'!$F$30</definedName>
    <definedName name="Sample4_1st_Volume" localSheetId="1">'Blank Sheet'!$D$30</definedName>
    <definedName name="Sample4_1st_Volume">'BOD Benchsheet'!$D$30</definedName>
    <definedName name="Sample4_2nd_Depletion" localSheetId="1">'Blank Sheet'!$I$31</definedName>
    <definedName name="Sample4_2nd_Depletion">'BOD Benchsheet'!$I$31</definedName>
    <definedName name="Sample4_2nd_DepletionOK" localSheetId="1">'Blank Sheet'!$J$31</definedName>
    <definedName name="Sample4_2nd_DepletionOK">'BOD Benchsheet'!$J$31</definedName>
    <definedName name="Sample4_2nd_DOf" localSheetId="1">'Blank Sheet'!$H$31</definedName>
    <definedName name="Sample4_2nd_DOf">'BOD Benchsheet'!$H$31</definedName>
    <definedName name="Sample4_2nd_DOi" localSheetId="1">'Blank Sheet'!$G$31</definedName>
    <definedName name="Sample4_2nd_DOi">'BOD Benchsheet'!$G$31</definedName>
    <definedName name="Sample4_2nd_Seed_Volume" localSheetId="1">'Blank Sheet'!$F$31</definedName>
    <definedName name="Sample4_2nd_Seed_Volume">'BOD Benchsheet'!$F$31</definedName>
    <definedName name="Sample4_2nd_Volume" localSheetId="1">'Blank Sheet'!$D$31</definedName>
    <definedName name="Sample4_2nd_Volume">'BOD Benchsheet'!$D$31</definedName>
    <definedName name="Sample4_3rd_Depletion" localSheetId="1">'Blank Sheet'!$I$32</definedName>
    <definedName name="Sample4_3rd_Depletion">'BOD Benchsheet'!$I$32</definedName>
    <definedName name="Sample4_3rd_DepletionOK" localSheetId="1">'Blank Sheet'!$J$32</definedName>
    <definedName name="Sample4_3rd_DepletionOK">'BOD Benchsheet'!$J$32</definedName>
    <definedName name="Sample4_3rd_DOf" localSheetId="1">'Blank Sheet'!$H$32</definedName>
    <definedName name="Sample4_3rd_DOf">'BOD Benchsheet'!$H$32</definedName>
    <definedName name="Sample4_3rd_DOi" localSheetId="1">'Blank Sheet'!$G$32</definedName>
    <definedName name="Sample4_3rd_DOi">'BOD Benchsheet'!$G$32</definedName>
    <definedName name="Sample4_3rd_Seed_Volume" localSheetId="1">'Blank Sheet'!$F$32</definedName>
    <definedName name="Sample4_3rd_Seed_Volume">'BOD Benchsheet'!$F$32</definedName>
    <definedName name="Sample4_3rd_Volume" localSheetId="1">'Blank Sheet'!$D$32</definedName>
    <definedName name="Sample4_3rd_Volume">'BOD Benchsheet'!$D$32</definedName>
    <definedName name="Sample5_1st_Depletion" localSheetId="1">'Blank Sheet'!$I$33</definedName>
    <definedName name="Sample5_1st_Depletion">'BOD Benchsheet'!$I$33</definedName>
    <definedName name="Sample5_1st_DepletionOK" localSheetId="1">'Blank Sheet'!$J$33</definedName>
    <definedName name="Sample5_1st_DepletionOK">'BOD Benchsheet'!$J$33</definedName>
    <definedName name="Sample5_1st_DOf" localSheetId="1">'Blank Sheet'!$H$33</definedName>
    <definedName name="Sample5_1st_DOf">'BOD Benchsheet'!$H$33</definedName>
    <definedName name="Sample5_1st_DOi" localSheetId="1">'Blank Sheet'!$G$33</definedName>
    <definedName name="Sample5_1st_DOi">'BOD Benchsheet'!$G$33</definedName>
    <definedName name="Sample5_1st_Seed_Volume" localSheetId="1">'Blank Sheet'!$F$33</definedName>
    <definedName name="Sample5_1st_Seed_Volume">'BOD Benchsheet'!$F$33</definedName>
    <definedName name="Sample5_1st_Volume" localSheetId="1">'Blank Sheet'!$D$33</definedName>
    <definedName name="Sample5_1st_Volume">'BOD Benchsheet'!$D$33</definedName>
    <definedName name="Sample5_2nd_Depletion" localSheetId="1">'Blank Sheet'!$I$34</definedName>
    <definedName name="Sample5_2nd_Depletion">'BOD Benchsheet'!$I$34</definedName>
    <definedName name="Sample5_2nd_DepletionOK" localSheetId="1">'Blank Sheet'!$J$34</definedName>
    <definedName name="Sample5_2nd_DepletionOK">'BOD Benchsheet'!$J$34</definedName>
    <definedName name="Sample5_2nd_DOf" localSheetId="1">'Blank Sheet'!$H$34</definedName>
    <definedName name="Sample5_2nd_DOf">'BOD Benchsheet'!$H$34</definedName>
    <definedName name="Sample5_2nd_DOi" localSheetId="1">'Blank Sheet'!$G$34</definedName>
    <definedName name="Sample5_2nd_DOi">'BOD Benchsheet'!$G$34</definedName>
    <definedName name="Sample5_2nd_Seed_Volume" localSheetId="1">'Blank Sheet'!$F$34</definedName>
    <definedName name="Sample5_2nd_Seed_Volume">'BOD Benchsheet'!$F$34</definedName>
    <definedName name="Sample5_2nd_Volume" localSheetId="1">'Blank Sheet'!$D$34</definedName>
    <definedName name="Sample5_2nd_Volume">'BOD Benchsheet'!$D$34</definedName>
    <definedName name="Sample5_3rd_Depletion" localSheetId="1">'Blank Sheet'!$I$35</definedName>
    <definedName name="Sample5_3rd_Depletion">'BOD Benchsheet'!$I$35</definedName>
    <definedName name="Sample5_3rd_DepletionOK" localSheetId="1">'Blank Sheet'!$J$35</definedName>
    <definedName name="Sample5_3rd_DepletionOK">'BOD Benchsheet'!$J$35</definedName>
    <definedName name="Sample5_3rd_DOf" localSheetId="1">'Blank Sheet'!$H$35</definedName>
    <definedName name="Sample5_3rd_DOf">'BOD Benchsheet'!$H$35</definedName>
    <definedName name="Sample5_3rd_DOi" localSheetId="1">'Blank Sheet'!$G$35</definedName>
    <definedName name="Sample5_3rd_DOi">'BOD Benchsheet'!$G$35</definedName>
    <definedName name="Sample5_3rd_Seed_Volume" localSheetId="1">'Blank Sheet'!$F$35</definedName>
    <definedName name="Sample5_3rd_Seed_Volume">'BOD Benchsheet'!$F$35</definedName>
    <definedName name="Sample5_3rd_Volume" localSheetId="1">'Blank Sheet'!$D$35</definedName>
    <definedName name="Sample5_3rd_Volume">'BOD Benchsheet'!$D$35</definedName>
    <definedName name="Sample6_1st_Depletion" localSheetId="1">'Blank Sheet'!$I$36</definedName>
    <definedName name="Sample6_1st_Depletion">'BOD Benchsheet'!$I$36</definedName>
    <definedName name="Sample6_1st_DepletionOK" localSheetId="1">'Blank Sheet'!$J$36</definedName>
    <definedName name="Sample6_1st_DepletionOK">'BOD Benchsheet'!$J$36</definedName>
    <definedName name="Sample6_1st_DOf" localSheetId="1">'Blank Sheet'!$H$36</definedName>
    <definedName name="Sample6_1st_DOf">'BOD Benchsheet'!$H$36</definedName>
    <definedName name="Sample6_1st_DOi" localSheetId="1">'Blank Sheet'!$G$36</definedName>
    <definedName name="Sample6_1st_DOi">'BOD Benchsheet'!$G$36</definedName>
    <definedName name="Sample6_1st_Seed_Volume" localSheetId="1">'Blank Sheet'!$F$36</definedName>
    <definedName name="Sample6_1st_Seed_Volume">'BOD Benchsheet'!$F$36</definedName>
    <definedName name="Sample6_1st_Volume" localSheetId="1">'Blank Sheet'!$D$36</definedName>
    <definedName name="Sample6_1st_Volume">'BOD Benchsheet'!$D$36</definedName>
    <definedName name="Sample6_2nd_Depletion" localSheetId="1">'Blank Sheet'!$I$37</definedName>
    <definedName name="Sample6_2nd_Depletion">'BOD Benchsheet'!$I$37</definedName>
    <definedName name="Sample6_2nd_DepletionOK" localSheetId="1">'Blank Sheet'!$J$37</definedName>
    <definedName name="Sample6_2nd_DepletionOK">'BOD Benchsheet'!$J$37</definedName>
    <definedName name="Sample6_2nd_DOf" localSheetId="1">'Blank Sheet'!$H$37</definedName>
    <definedName name="Sample6_2nd_DOf">'BOD Benchsheet'!$H$37</definedName>
    <definedName name="Sample6_2nd_DOi" localSheetId="1">'Blank Sheet'!$G$37</definedName>
    <definedName name="Sample6_2nd_DOi">'BOD Benchsheet'!$G$37</definedName>
    <definedName name="Sample6_2nd_Seed_Volume" localSheetId="1">'Blank Sheet'!$F$37</definedName>
    <definedName name="Sample6_2nd_Seed_Volume">'BOD Benchsheet'!$F$37</definedName>
    <definedName name="Sample6_2nd_Volume" localSheetId="1">'Blank Sheet'!$D$37</definedName>
    <definedName name="Sample6_2nd_Volume">'BOD Benchsheet'!$D$37</definedName>
    <definedName name="Sample6_3rd_Depletion" localSheetId="1">'Blank Sheet'!$I$38</definedName>
    <definedName name="Sample6_3rd_Depletion">'BOD Benchsheet'!$I$38</definedName>
    <definedName name="Sample6_3rd_DepletionOK" localSheetId="1">'Blank Sheet'!$J$38</definedName>
    <definedName name="Sample6_3rd_DepletionOK">'BOD Benchsheet'!$J$38</definedName>
    <definedName name="Sample6_3rd_DOf" localSheetId="1">'Blank Sheet'!$H$38</definedName>
    <definedName name="Sample6_3rd_DOf">'BOD Benchsheet'!$H$38</definedName>
    <definedName name="Sample6_3rd_DOi" localSheetId="1">'Blank Sheet'!$G$38</definedName>
    <definedName name="Sample6_3rd_DOi">'BOD Benchsheet'!$G$38</definedName>
    <definedName name="Sample6_3rd_Seed_Volume" localSheetId="1">'Blank Sheet'!$F$38</definedName>
    <definedName name="Sample6_3rd_Seed_Volume">'BOD Benchsheet'!$F$38</definedName>
    <definedName name="Sample6_3rd_Volume" localSheetId="1">'Blank Sheet'!$D$38</definedName>
    <definedName name="Sample6_3rd_Volume">'BOD Benchsheet'!$D$38</definedName>
    <definedName name="Sample7_1st_Depletion" localSheetId="1">'Blank Sheet'!$I$39</definedName>
    <definedName name="Sample7_1st_Depletion">'BOD Benchsheet'!$I$39</definedName>
    <definedName name="Sample7_1st_DepletionOK" localSheetId="1">'Blank Sheet'!$J$39</definedName>
    <definedName name="Sample7_1st_DepletionOK">'BOD Benchsheet'!$J$39</definedName>
    <definedName name="Sample7_1st_DOf" localSheetId="1">'Blank Sheet'!$H$39</definedName>
    <definedName name="Sample7_1st_DOf">'BOD Benchsheet'!$H$39</definedName>
    <definedName name="Sample7_1st_DOi" localSheetId="1">'Blank Sheet'!$G$39</definedName>
    <definedName name="Sample7_1st_DOi">'BOD Benchsheet'!$G$39</definedName>
    <definedName name="Sample7_1st_Seed_Volume" localSheetId="1">'Blank Sheet'!$F$39</definedName>
    <definedName name="Sample7_1st_Seed_Volume">'BOD Benchsheet'!$F$39</definedName>
    <definedName name="Sample7_1st_Volume" localSheetId="1">'Blank Sheet'!$D$39</definedName>
    <definedName name="Sample7_1st_Volume">'BOD Benchsheet'!$D$39</definedName>
    <definedName name="Sample7_2nd_Depletion" localSheetId="1">'Blank Sheet'!$I$40</definedName>
    <definedName name="Sample7_2nd_Depletion">'BOD Benchsheet'!$I$40</definedName>
    <definedName name="Sample7_2nd_DepletionOK" localSheetId="1">'Blank Sheet'!$J$40</definedName>
    <definedName name="Sample7_2nd_DepletionOK">'BOD Benchsheet'!$J$40</definedName>
    <definedName name="Sample7_2nd_DOf" localSheetId="1">'Blank Sheet'!$H$40</definedName>
    <definedName name="Sample7_2nd_DOf">'BOD Benchsheet'!$H$40</definedName>
    <definedName name="Sample7_2nd_DOi" localSheetId="1">'Blank Sheet'!$G$40</definedName>
    <definedName name="Sample7_2nd_DOi">'BOD Benchsheet'!$G$40</definedName>
    <definedName name="Sample7_2nd_Seed_Volume" localSheetId="1">'Blank Sheet'!$F$40</definedName>
    <definedName name="Sample7_2nd_Seed_Volume">'BOD Benchsheet'!$F$40</definedName>
    <definedName name="Sample7_2nd_Volume" localSheetId="1">'Blank Sheet'!$D$40</definedName>
    <definedName name="Sample7_2nd_Volume">'BOD Benchsheet'!$D$40</definedName>
    <definedName name="Sample7_3rd_Depletion" localSheetId="1">'Blank Sheet'!$I$41</definedName>
    <definedName name="Sample7_3rd_Depletion">'BOD Benchsheet'!$I$41</definedName>
    <definedName name="Sample7_3rd_DepletionOK" localSheetId="1">'Blank Sheet'!$J$41</definedName>
    <definedName name="Sample7_3rd_DepletionOK">'BOD Benchsheet'!$J$41</definedName>
    <definedName name="Sample7_3rd_DOf" localSheetId="1">'Blank Sheet'!$H$41</definedName>
    <definedName name="Sample7_3rd_DOf">'BOD Benchsheet'!$H$41</definedName>
    <definedName name="Sample7_3rd_DOi" localSheetId="1">'Blank Sheet'!$G$41</definedName>
    <definedName name="Sample7_3rd_DOi">'BOD Benchsheet'!$G$41</definedName>
    <definedName name="Sample7_3rd_Seed_Volume" localSheetId="1">'Blank Sheet'!$F$41</definedName>
    <definedName name="Sample7_3rd_Seed_Volume">'BOD Benchsheet'!$F$41</definedName>
    <definedName name="Sample7_3rd_Volume" localSheetId="1">'Blank Sheet'!$D$41</definedName>
    <definedName name="Sample7_3rd_Volume">'BOD Benchsheet'!$D$41</definedName>
    <definedName name="Seed_BOD_per_mL" localSheetId="1">'Blank Sheet'!$G$6</definedName>
    <definedName name="Seed_BOD_per_mL">'BOD Benchsheet'!$G$6</definedName>
    <definedName name="Seed1_Depletion" localSheetId="1">'Blank Sheet'!$I$17</definedName>
    <definedName name="Seed1_Depletion">'BOD Benchsheet'!$I$17</definedName>
    <definedName name="Seed1_DepletionOK" localSheetId="1">'Blank Sheet'!$J$17</definedName>
    <definedName name="Seed1_DepletionOK">'BOD Benchsheet'!$J$17</definedName>
    <definedName name="Seed1_DOf" localSheetId="1">'Blank Sheet'!$H$17</definedName>
    <definedName name="Seed1_DOf">'BOD Benchsheet'!$H$17</definedName>
    <definedName name="Seed1_DOi" localSheetId="1">'Blank Sheet'!$G$17</definedName>
    <definedName name="Seed1_DOi">'BOD Benchsheet'!$G$17</definedName>
    <definedName name="Seed1_VolumeOK" localSheetId="1">'Blank Sheet'!$K$17</definedName>
    <definedName name="Seed1_VolumeOK">'BOD Benchsheet'!$K$17</definedName>
    <definedName name="Seed2_Depletion" localSheetId="1">'Blank Sheet'!$I$18</definedName>
    <definedName name="Seed2_Depletion">'BOD Benchsheet'!$I$18</definedName>
    <definedName name="Seed2_DepletionOK" localSheetId="1">'Blank Sheet'!$J$18</definedName>
    <definedName name="Seed2_DepletionOK">'BOD Benchsheet'!$J$18</definedName>
    <definedName name="Seed2_DOf" localSheetId="1">'Blank Sheet'!$H$18</definedName>
    <definedName name="Seed2_DOf">'BOD Benchsheet'!$H$18</definedName>
    <definedName name="Seed2_DOi" localSheetId="1">'Blank Sheet'!$G$18</definedName>
    <definedName name="Seed2_DOi">'BOD Benchsheet'!$G$18</definedName>
    <definedName name="Seed2_VolumeOK" localSheetId="1">'Blank Sheet'!$K$18</definedName>
    <definedName name="Seed2_VolumeOK">'BOD Benchsheet'!$K$18</definedName>
    <definedName name="Seed3_Depletion" localSheetId="1">'Blank Sheet'!$I$19</definedName>
    <definedName name="Seed3_Depletion">'BOD Benchsheet'!$I$19</definedName>
    <definedName name="Seed3_DepletionOK" localSheetId="1">'Blank Sheet'!$J$19</definedName>
    <definedName name="Seed3_DepletionOK">'BOD Benchsheet'!$J$19</definedName>
    <definedName name="Seed3_DOf" localSheetId="1">'Blank Sheet'!$H$19</definedName>
    <definedName name="Seed3_DOf">'BOD Benchsheet'!$H$19</definedName>
    <definedName name="Seed3_DOi" localSheetId="1">'Blank Sheet'!$G$19</definedName>
    <definedName name="Seed3_DOi">'BOD Benchsheet'!$G$19</definedName>
    <definedName name="Seed3_VolumeOK" localSheetId="1">'Blank Sheet'!$K$19</definedName>
    <definedName name="Seed3_VolumeOK">'BOD Benchsheet'!$K$19</definedName>
    <definedName name="SeedStrength1" localSheetId="1">'Blank Sheet'!$L$17</definedName>
    <definedName name="SeedStrength1">'BOD Benchsheet'!$L$17</definedName>
    <definedName name="SeedStrength2" localSheetId="1">'Blank Sheet'!$L$18</definedName>
    <definedName name="SeedStrength2">'BOD Benchsheet'!$L$18</definedName>
    <definedName name="SeedStrength3" localSheetId="1">'Blank Sheet'!$L$19</definedName>
    <definedName name="SeedStrength3">'BOD Benchsheet'!$L$19</definedName>
    <definedName name="SeedStrengthAverage" localSheetId="1">'Blank Sheet'!$O$17</definedName>
    <definedName name="SeedStrengthAverage">'BOD Benchsheet'!$O$17</definedName>
    <definedName name="SeedStrengthFinal1" localSheetId="1">'Blank Sheet'!$N$17</definedName>
    <definedName name="SeedStrengthFinal1">'BOD Benchsheet'!$N$17</definedName>
    <definedName name="SeedStrengthFinal2" localSheetId="1">'Blank Sheet'!$N$18</definedName>
    <definedName name="SeedStrengthFinal2">'BOD Benchsheet'!$N$18</definedName>
    <definedName name="SeedStrengthFinal3" localSheetId="1">'Blank Sheet'!$N$19</definedName>
    <definedName name="SeedStrengthFinal3">'BOD Benchsheet'!$N$19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2" l="1"/>
  <c r="K44" i="2"/>
  <c r="I44" i="2"/>
  <c r="N44" i="2"/>
  <c r="E44" i="2"/>
  <c r="K43" i="2"/>
  <c r="I43" i="2"/>
  <c r="N43" i="2"/>
  <c r="E43" i="2"/>
  <c r="B43" i="2"/>
  <c r="B44" i="2"/>
  <c r="K42" i="2"/>
  <c r="I42" i="2"/>
  <c r="N42" i="2"/>
  <c r="O42" i="2"/>
  <c r="E42" i="2"/>
  <c r="I41" i="2"/>
  <c r="N41" i="2"/>
  <c r="E41" i="2"/>
  <c r="I40" i="2"/>
  <c r="N40" i="2"/>
  <c r="E40" i="2"/>
  <c r="B40" i="2"/>
  <c r="B41" i="2"/>
  <c r="I39" i="2"/>
  <c r="N39" i="2"/>
  <c r="O39" i="2"/>
  <c r="E39" i="2"/>
  <c r="I38" i="2"/>
  <c r="N38" i="2"/>
  <c r="E38" i="2"/>
  <c r="B38" i="2"/>
  <c r="I37" i="2"/>
  <c r="N37" i="2"/>
  <c r="E37" i="2"/>
  <c r="B37" i="2"/>
  <c r="I36" i="2"/>
  <c r="N36" i="2"/>
  <c r="O36" i="2"/>
  <c r="E36" i="2"/>
  <c r="I35" i="2"/>
  <c r="N35" i="2"/>
  <c r="E35" i="2"/>
  <c r="N34" i="2"/>
  <c r="I34" i="2"/>
  <c r="E34" i="2"/>
  <c r="B34" i="2"/>
  <c r="B35" i="2"/>
  <c r="I33" i="2"/>
  <c r="N33" i="2"/>
  <c r="O33" i="2"/>
  <c r="E33" i="2"/>
  <c r="I32" i="2"/>
  <c r="N32" i="2"/>
  <c r="E32" i="2"/>
  <c r="I31" i="2"/>
  <c r="N31" i="2"/>
  <c r="E31" i="2"/>
  <c r="B31" i="2"/>
  <c r="B32" i="2"/>
  <c r="I30" i="2"/>
  <c r="N30" i="2"/>
  <c r="O30" i="2"/>
  <c r="E30" i="2"/>
  <c r="I29" i="2"/>
  <c r="N29" i="2"/>
  <c r="E29" i="2"/>
  <c r="I28" i="2"/>
  <c r="N28" i="2"/>
  <c r="E28" i="2"/>
  <c r="B28" i="2"/>
  <c r="B29" i="2"/>
  <c r="I27" i="2"/>
  <c r="N27" i="2"/>
  <c r="O27" i="2"/>
  <c r="E27" i="2"/>
  <c r="B25" i="2"/>
  <c r="B24" i="2"/>
  <c r="B26" i="2"/>
  <c r="B21" i="2"/>
  <c r="B22" i="2"/>
  <c r="B18" i="2"/>
  <c r="B19" i="2"/>
  <c r="W12" i="2"/>
  <c r="G7" i="2"/>
  <c r="A7" i="2"/>
  <c r="W11" i="2"/>
  <c r="P16" i="2"/>
  <c r="O20" i="2"/>
  <c r="O21" i="2"/>
  <c r="J42" i="2"/>
  <c r="O23" i="2"/>
  <c r="J43" i="2"/>
  <c r="J44" i="2"/>
  <c r="I13" i="1"/>
  <c r="M13" i="1"/>
  <c r="K13" i="1"/>
  <c r="E13" i="1"/>
  <c r="I15" i="1"/>
  <c r="N15" i="1" a="1"/>
  <c r="N15" i="1"/>
  <c r="O15" i="1"/>
  <c r="I17" i="1"/>
  <c r="J17" i="1"/>
  <c r="L17" i="1"/>
  <c r="N17" i="1"/>
  <c r="I18" i="1"/>
  <c r="M18" i="1"/>
  <c r="I19" i="1"/>
  <c r="J19" i="1"/>
  <c r="L19" i="1"/>
  <c r="N19" i="1"/>
  <c r="K15" i="1"/>
  <c r="E15" i="1"/>
  <c r="I41" i="1"/>
  <c r="N41" i="1"/>
  <c r="I40" i="1"/>
  <c r="J40" i="1"/>
  <c r="I39" i="1"/>
  <c r="J39" i="1"/>
  <c r="I38" i="1"/>
  <c r="N38" i="1"/>
  <c r="I37" i="1"/>
  <c r="J37" i="1"/>
  <c r="I36" i="1"/>
  <c r="N36" i="1"/>
  <c r="O36" i="1"/>
  <c r="I35" i="1"/>
  <c r="I34" i="1"/>
  <c r="J34" i="1"/>
  <c r="I33" i="1"/>
  <c r="I32" i="1"/>
  <c r="J32" i="1"/>
  <c r="I31" i="1"/>
  <c r="N31" i="1"/>
  <c r="I30" i="1"/>
  <c r="J30" i="1"/>
  <c r="I29" i="1"/>
  <c r="N29" i="1"/>
  <c r="I28" i="1"/>
  <c r="J28" i="1"/>
  <c r="I27" i="1"/>
  <c r="J27" i="1"/>
  <c r="I26" i="1"/>
  <c r="I25" i="1"/>
  <c r="J25" i="1"/>
  <c r="I24" i="1"/>
  <c r="J24" i="1"/>
  <c r="I23" i="1"/>
  <c r="J23" i="1"/>
  <c r="I22" i="1"/>
  <c r="J22" i="1"/>
  <c r="I21" i="1"/>
  <c r="I20" i="1"/>
  <c r="J20" i="1"/>
  <c r="I16" i="1"/>
  <c r="I14" i="1"/>
  <c r="I12" i="1"/>
  <c r="J12" i="1"/>
  <c r="J41" i="1"/>
  <c r="J35" i="1"/>
  <c r="N35" i="1"/>
  <c r="N34" i="1"/>
  <c r="J33" i="1"/>
  <c r="N33" i="1"/>
  <c r="O33" i="1"/>
  <c r="J29" i="1"/>
  <c r="K22" i="1"/>
  <c r="K21" i="1"/>
  <c r="K20" i="1"/>
  <c r="E32" i="1"/>
  <c r="E41" i="1"/>
  <c r="E40" i="1"/>
  <c r="E39" i="1"/>
  <c r="E38" i="1"/>
  <c r="E37" i="1"/>
  <c r="E36" i="1"/>
  <c r="E35" i="1"/>
  <c r="E34" i="1"/>
  <c r="E33" i="1"/>
  <c r="E31" i="1"/>
  <c r="E30" i="1"/>
  <c r="E29" i="1"/>
  <c r="E28" i="1"/>
  <c r="E27" i="1"/>
  <c r="I45" i="1"/>
  <c r="I44" i="1"/>
  <c r="N44" i="1"/>
  <c r="J44" i="1"/>
  <c r="I43" i="1"/>
  <c r="N43" i="1"/>
  <c r="I42" i="1"/>
  <c r="N42" i="1"/>
  <c r="O42" i="1"/>
  <c r="J42" i="1"/>
  <c r="K41" i="1"/>
  <c r="K40" i="1"/>
  <c r="K39" i="1"/>
  <c r="K38" i="1"/>
  <c r="K37" i="1"/>
  <c r="K36" i="1"/>
  <c r="K35" i="1"/>
  <c r="K33" i="1"/>
  <c r="K34" i="1"/>
  <c r="K32" i="1"/>
  <c r="K31" i="1"/>
  <c r="K30" i="1"/>
  <c r="K29" i="1"/>
  <c r="K28" i="1"/>
  <c r="K27" i="1"/>
  <c r="K26" i="1"/>
  <c r="K25" i="1"/>
  <c r="K24" i="1"/>
  <c r="K23" i="1"/>
  <c r="K19" i="1"/>
  <c r="K18" i="1"/>
  <c r="K17" i="1"/>
  <c r="K16" i="1"/>
  <c r="K14" i="1"/>
  <c r="K12" i="1"/>
  <c r="E12" i="1"/>
  <c r="E26" i="1"/>
  <c r="E25" i="1"/>
  <c r="E24" i="1"/>
  <c r="E23" i="1"/>
  <c r="E22" i="1"/>
  <c r="E21" i="1"/>
  <c r="E20" i="1"/>
  <c r="E19" i="1"/>
  <c r="E18" i="1"/>
  <c r="E17" i="1"/>
  <c r="E16" i="1"/>
  <c r="E14" i="1"/>
  <c r="F3" i="1"/>
  <c r="B24" i="1"/>
  <c r="B25" i="1"/>
  <c r="K42" i="1"/>
  <c r="K43" i="1"/>
  <c r="K44" i="1"/>
  <c r="B34" i="1"/>
  <c r="B35" i="1"/>
  <c r="B31" i="1"/>
  <c r="B18" i="1"/>
  <c r="B43" i="1"/>
  <c r="B44" i="1"/>
  <c r="E44" i="1"/>
  <c r="E43" i="1"/>
  <c r="E42" i="1"/>
  <c r="B40" i="1"/>
  <c r="B41" i="1"/>
  <c r="B37" i="1"/>
  <c r="B38" i="1"/>
  <c r="B32" i="1"/>
  <c r="B28" i="1"/>
  <c r="B29" i="1"/>
  <c r="B26" i="1"/>
  <c r="B21" i="1"/>
  <c r="B22" i="1"/>
  <c r="B19" i="1"/>
  <c r="N20" i="1"/>
  <c r="J21" i="1"/>
  <c r="N21" i="1"/>
  <c r="N22" i="1"/>
  <c r="M19" i="1"/>
  <c r="M17" i="1"/>
  <c r="J18" i="1"/>
  <c r="L18" i="1"/>
  <c r="N18" i="1"/>
  <c r="P13" i="2"/>
  <c r="W10" i="2"/>
  <c r="J13" i="1"/>
  <c r="N13" i="1" a="1"/>
  <c r="N13" i="1"/>
  <c r="O13" i="1"/>
  <c r="N23" i="1"/>
  <c r="O23" i="1"/>
  <c r="J31" i="1"/>
  <c r="N32" i="1"/>
  <c r="M12" i="1"/>
  <c r="N30" i="1"/>
  <c r="O30" i="1"/>
  <c r="N24" i="1"/>
  <c r="N25" i="1"/>
  <c r="J26" i="1"/>
  <c r="N26" i="1"/>
  <c r="J38" i="1"/>
  <c r="J36" i="1"/>
  <c r="N37" i="1"/>
  <c r="N39" i="1"/>
  <c r="O39" i="1"/>
  <c r="N28" i="1"/>
  <c r="N40" i="1"/>
  <c r="O17" i="1"/>
  <c r="G6" i="1"/>
  <c r="M16" i="1"/>
  <c r="N27" i="1"/>
  <c r="O27" i="1"/>
  <c r="J43" i="1"/>
  <c r="J16" i="1"/>
  <c r="N16" i="1"/>
  <c r="O16" i="1"/>
  <c r="W12" i="1"/>
  <c r="J14" i="1"/>
  <c r="N14" i="1"/>
  <c r="O14" i="1"/>
  <c r="J15" i="1"/>
  <c r="N12" i="1"/>
  <c r="O12" i="1"/>
  <c r="O20" i="1"/>
  <c r="O21" i="1"/>
  <c r="G7" i="1"/>
  <c r="A7" i="1"/>
  <c r="M21" i="1"/>
  <c r="M34" i="1"/>
  <c r="M15" i="1"/>
  <c r="M22" i="1"/>
  <c r="M31" i="1"/>
  <c r="M32" i="1"/>
  <c r="M33" i="1"/>
  <c r="M37" i="1"/>
  <c r="M23" i="1"/>
  <c r="M35" i="1"/>
  <c r="M30" i="1"/>
  <c r="M38" i="1"/>
  <c r="M40" i="1"/>
  <c r="M28" i="1"/>
  <c r="M39" i="1"/>
  <c r="M14" i="1"/>
  <c r="J6" i="1"/>
  <c r="M20" i="1"/>
  <c r="M26" i="1"/>
  <c r="M29" i="1"/>
  <c r="M36" i="1"/>
  <c r="M25" i="1"/>
  <c r="M24" i="1"/>
  <c r="M27" i="1"/>
  <c r="M41" i="1"/>
  <c r="P16" i="1"/>
  <c r="W11" i="1"/>
  <c r="P13" i="1"/>
  <c r="W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Sidney</author>
    <author>corey</author>
  </authors>
  <commentList>
    <comment ref="J6" authorId="0" shapeId="0" xr:uid="{00000000-0006-0000-0000-000001000000}">
      <text>
        <r>
          <rPr>
            <b/>
            <sz val="9"/>
            <color indexed="81"/>
            <rFont val="Tahoma"/>
            <family val="2"/>
          </rPr>
          <t>Sidney:</t>
        </r>
        <r>
          <rPr>
            <sz val="9"/>
            <color indexed="81"/>
            <rFont val="Tahoma"/>
            <family val="2"/>
          </rPr>
          <t xml:space="preserve">
Calculates the seed strength by performing a linear regression (slope) from the seed strength results.</t>
        </r>
      </text>
    </comment>
    <comment ref="G7" authorId="1" shapeId="0" xr:uid="{00000000-0006-0000-0000-000002000000}">
      <text>
        <r>
          <rPr>
            <sz val="9"/>
            <color indexed="81"/>
            <rFont val="Tahoma"/>
            <family val="2"/>
          </rPr>
          <t>Should be between 0.6 and 1.0 mg/L.  May be adjusted outside of this range to bring the standard within limits.</t>
        </r>
      </text>
    </comment>
    <comment ref="L11" authorId="0" shapeId="0" xr:uid="{00000000-0006-0000-0000-000003000000}">
      <text>
        <r>
          <rPr>
            <b/>
            <sz val="9"/>
            <color indexed="81"/>
            <rFont val="Tahoma"/>
            <charset val="1"/>
          </rPr>
          <t>Sidney:</t>
        </r>
        <r>
          <rPr>
            <sz val="9"/>
            <color indexed="81"/>
            <rFont val="Tahoma"/>
            <charset val="1"/>
          </rPr>
          <t xml:space="preserve">
This column is only used to calculate the BOD of the seed solution.
</t>
        </r>
      </text>
    </comment>
    <comment ref="I12" authorId="0" shapeId="0" xr:uid="{00000000-0006-0000-0000-000004000000}">
      <text>
        <r>
          <rPr>
            <b/>
            <sz val="9"/>
            <color indexed="81"/>
            <rFont val="Tahoma"/>
            <charset val="1"/>
          </rPr>
          <t>Sidney:</t>
        </r>
        <r>
          <rPr>
            <sz val="9"/>
            <color indexed="81"/>
            <rFont val="Tahoma"/>
            <charset val="1"/>
          </rPr>
          <t xml:space="preserve">
This cell says -- If the Int DO column and Fin DO column are empty -- no readings entered, then don't do anything.  No calculation and no result shows.
If values have been entered, subtract the final DO from the initial DO.</t>
        </r>
      </text>
    </comment>
    <comment ref="N12" authorId="0" shapeId="0" xr:uid="{00000000-0006-0000-0000-000005000000}">
      <text>
        <r>
          <rPr>
            <b/>
            <sz val="9"/>
            <color indexed="81"/>
            <rFont val="Tahoma"/>
            <family val="2"/>
          </rPr>
          <t>Sidney:</t>
        </r>
        <r>
          <rPr>
            <sz val="9"/>
            <color indexed="81"/>
            <rFont val="Tahoma"/>
            <family val="2"/>
          </rPr>
          <t xml:space="preserve">
Formula checks to see if there is data entered for blank volume, blank depletion, and blank final DO.
If data is missing - no calculation performed.  cell stays blank.
If all data is present, checks to see if the blank depletion is less than 0.2 mg/L.
If it isn't (acceptable depletion column = no), enters "Reject"
If it is (acceptable depletion column = yes), enters the blank depletion amount.
=IFERROR(IF(OR(BlankVolume="",BlankDepletion="",BlankDOf=""),"",IF(BlankDepletionLessThan0.2="No","Reject",300/BlankVolume*(BlankDepletion-(Blank_Seed_Volume_Added*Seed_BOD_per_mL)))),300/BlankVolume*BlankDepletion)</t>
        </r>
      </text>
    </comment>
    <comment ref="J14" authorId="0" shapeId="0" xr:uid="{00000000-0006-0000-0000-000006000000}">
      <text>
        <r>
          <rPr>
            <b/>
            <sz val="9"/>
            <color indexed="81"/>
            <rFont val="Tahoma"/>
            <charset val="1"/>
          </rPr>
          <t>Sidney:</t>
        </r>
        <r>
          <rPr>
            <sz val="9"/>
            <color indexed="81"/>
            <rFont val="Tahoma"/>
            <charset val="1"/>
          </rPr>
          <t xml:space="preserve">
Calculation says -- 
If the DO depletion is not greater than or equal to 2 mg/L 
OR
the final DO is less than 1 mg/L, enter "No"
If the DO depletion and residual are both acceptable, check to see if BOTH of these things are true:
1 - Seed Calculation result says "ERROR"
2 - The Seed Volume for this sample contains a number
If one or both is not true, enter "No"
If both are true, enter "Yes"
</t>
        </r>
      </text>
    </comment>
    <comment ref="N14" authorId="0" shapeId="0" xr:uid="{00000000-0006-0000-0000-000007000000}">
      <text>
        <r>
          <rPr>
            <b/>
            <sz val="9"/>
            <color indexed="81"/>
            <rFont val="Tahoma"/>
            <family val="2"/>
          </rPr>
          <t>Sidney:</t>
        </r>
        <r>
          <rPr>
            <sz val="9"/>
            <color indexed="81"/>
            <rFont val="Tahoma"/>
            <family val="2"/>
          </rPr>
          <t xml:space="preserve">
Calculation says:
IF any of these values are empty, leave this cell blank.  Sample volume, Final DO reading, or DO depletion.   Basically, don't do the calcuation if you don't have all the data.
IF all of the data is available (Sample volume, final DO reading, and DO depletion)
AND
1 - Depletion column says "NO"
2 - Sample volume is not greater than 270 mL
REJECT the result
The sample didn't deplete enough to be used in the calculation.  Since the sample volume isn't greater than 270 mL, there was room to increase the size.  Therefore, this calculation is not valid.  Use a bigger volume next time.
If all of the data is available (Sample volume, final DO reading, and DO depletion)
AND the sample result wasn't kicked out by the screening test above,
Complete the BOD calculation and return the result.  BOD results include seed correction when seed has been added to a sample bottle.</t>
        </r>
      </text>
    </comment>
    <comment ref="J16" authorId="0" shapeId="0" xr:uid="{00000000-0006-0000-0000-000008000000}">
      <text>
        <r>
          <rPr>
            <b/>
            <sz val="9"/>
            <color indexed="81"/>
            <rFont val="Tahoma"/>
            <charset val="1"/>
          </rPr>
          <t>Sidney:</t>
        </r>
        <r>
          <rPr>
            <sz val="9"/>
            <color indexed="81"/>
            <rFont val="Tahoma"/>
            <charset val="1"/>
          </rPr>
          <t xml:space="preserve">
Calculation says -- 
If the DO depletion is not greater than or equal to 2 mg/L 
OR
the final DO is less than 1 mg/L, enter "No"
If the DO depletion and residual are both acceptable, check to see if BOTH of these things are true:
1 - Seed Calculation result says "ERROR"
2 - The Seed Volume for this sample contains a number
If one or both is not true, enter "No"
If both are true, enter "Yes"</t>
        </r>
      </text>
    </comment>
    <comment ref="N16" authorId="0" shapeId="0" xr:uid="{00000000-0006-0000-0000-000009000000}">
      <text>
        <r>
          <rPr>
            <b/>
            <sz val="9"/>
            <color indexed="81"/>
            <rFont val="Tahoma"/>
            <family val="2"/>
          </rPr>
          <t>Sidney:</t>
        </r>
        <r>
          <rPr>
            <sz val="9"/>
            <color indexed="81"/>
            <rFont val="Tahoma"/>
            <family val="2"/>
          </rPr>
          <t xml:space="preserve">
Calculation says:
IF any of these values are empty, leave this cell blank.  Sample volume, Final DO reading, or DO depletion.   Basically, don't do the calcuation if you don't have all the data.
IF all of the data is available (Sample volume, final DO reading, and DO depletion)
AND
1 - Depletion column says "NO"
2 - Sample volume is not greater than 270 mL
REJECT the result
The sample didn't deplete enough to be used in the calculation.  Since the sample volume isn't greater than 270 mL, there was room to increase the size.  Therefore, this calculation is not valid.  Use a bigger volume next time.
If all of the data is available (Sample volume, final DO reading, and DO depletion)
AND the sample result wasn't kicked out by the screening test above,
Complete the BOD calculation and return the result.  BOD results include seed correction when seed has been added to a sample bottle.</t>
        </r>
      </text>
    </comment>
    <comment ref="J17" authorId="0" shapeId="0" xr:uid="{00000000-0006-0000-0000-00000A000000}">
      <text>
        <r>
          <rPr>
            <b/>
            <sz val="9"/>
            <color indexed="81"/>
            <rFont val="Tahoma"/>
            <charset val="1"/>
          </rPr>
          <t>Sidney:</t>
        </r>
        <r>
          <rPr>
            <sz val="9"/>
            <color indexed="81"/>
            <rFont val="Tahoma"/>
            <charset val="1"/>
          </rPr>
          <t xml:space="preserve">
This calculation says -- IF both of these things are true, enter "Yes"
Final DO is &gt;1
Depletion is &gt;=2mg/L</t>
        </r>
      </text>
    </comment>
    <comment ref="L17" authorId="0" shapeId="0" xr:uid="{00000000-0006-0000-0000-00000B000000}">
      <text>
        <r>
          <rPr>
            <b/>
            <sz val="9"/>
            <color indexed="81"/>
            <rFont val="Tahoma"/>
            <charset val="1"/>
          </rPr>
          <t>Sidney:</t>
        </r>
        <r>
          <rPr>
            <sz val="9"/>
            <color indexed="81"/>
            <rFont val="Tahoma"/>
            <charset val="1"/>
          </rPr>
          <t xml:space="preserve">
Calculation says:
Did this seed sample deplete at least 2 mg/L and have 1 mg/L remaining.  If the answer is YES, divide the amount of DO depletion by the mL of seed used.  Result is the seed strength as mg/L of DO depletion per mL of seed added.
If the answer is NO - returns "Reject".
</t>
        </r>
      </text>
    </comment>
    <comment ref="N17" authorId="0" shapeId="0" xr:uid="{00000000-0006-0000-0000-00000C000000}">
      <text>
        <r>
          <rPr>
            <b/>
            <sz val="9"/>
            <color indexed="81"/>
            <rFont val="Tahoma"/>
            <family val="2"/>
          </rPr>
          <t>Sidney:</t>
        </r>
        <r>
          <rPr>
            <sz val="9"/>
            <color indexed="81"/>
            <rFont val="Tahoma"/>
            <family val="2"/>
          </rPr>
          <t xml:space="preserve">
This column checks to make sure that the amount of seed depletion per mL of seed added is greater than 0.
If it is greater than zero, then the seed strength value will be shown here.  Units are mg/L of BOD per mL of seed added.</t>
        </r>
      </text>
    </comment>
    <comment ref="O17" authorId="0" shapeId="0" xr:uid="{00000000-0006-0000-0000-00000D000000}">
      <text>
        <r>
          <rPr>
            <b/>
            <sz val="9"/>
            <color indexed="81"/>
            <rFont val="Tahoma"/>
            <family val="2"/>
          </rPr>
          <t>Sidney:</t>
        </r>
        <r>
          <rPr>
            <sz val="9"/>
            <color indexed="81"/>
            <rFont val="Tahoma"/>
            <family val="2"/>
          </rPr>
          <t xml:space="preserve">
Calculation says… check to see if at least one of the seed dilutions has a calculated result.  If at least one result exists, average the results.</t>
        </r>
      </text>
    </comment>
    <comment ref="L18" authorId="0" shapeId="0" xr:uid="{00000000-0006-0000-0000-00000E000000}">
      <text>
        <r>
          <rPr>
            <b/>
            <sz val="9"/>
            <color indexed="81"/>
            <rFont val="Tahoma"/>
            <charset val="1"/>
          </rPr>
          <t>Sidney:</t>
        </r>
        <r>
          <rPr>
            <sz val="9"/>
            <color indexed="81"/>
            <rFont val="Tahoma"/>
            <charset val="1"/>
          </rPr>
          <t xml:space="preserve">
Calculation says:
Did this seed sample deplete at least 2 mg/L and have 1 mg/L remaining.  If the answer is YES, divide the amount of DO depletion by the mL of seed used.  Result is the seed strength as mg/L of DO depletion per mL of seed added.
If the answer is NO - returns "Reject".
</t>
        </r>
      </text>
    </comment>
    <comment ref="N18" authorId="0" shapeId="0" xr:uid="{00000000-0006-0000-0000-00000F000000}">
      <text>
        <r>
          <rPr>
            <b/>
            <sz val="9"/>
            <color indexed="81"/>
            <rFont val="Tahoma"/>
            <family val="2"/>
          </rPr>
          <t>Sidney:</t>
        </r>
        <r>
          <rPr>
            <sz val="9"/>
            <color indexed="81"/>
            <rFont val="Tahoma"/>
            <family val="2"/>
          </rPr>
          <t xml:space="preserve">
This column checks to make sure that the amount of seed depletion per mL of seed added is greater than 0.
If it is greater than zero, then the seed strength value will be shown here.  Units are mg/L of BOD per mL of seed added.</t>
        </r>
      </text>
    </comment>
    <comment ref="L19" authorId="0" shapeId="0" xr:uid="{00000000-0006-0000-0000-000010000000}">
      <text>
        <r>
          <rPr>
            <b/>
            <sz val="9"/>
            <color indexed="81"/>
            <rFont val="Tahoma"/>
            <charset val="1"/>
          </rPr>
          <t>Sidney:</t>
        </r>
        <r>
          <rPr>
            <sz val="9"/>
            <color indexed="81"/>
            <rFont val="Tahoma"/>
            <charset val="1"/>
          </rPr>
          <t xml:space="preserve">
Calculation says:
Did this seed sample deplete at least 2 mg/L and have 1 mg/L remaining.  If the answer is YES, divide the amount of DO depletion by the mL of seed used.  Result is the seed strength as mg/L of DO depletion per mL of seed added.
If the answer is NO - returns "Reject".
</t>
        </r>
      </text>
    </comment>
    <comment ref="N19" authorId="0" shapeId="0" xr:uid="{00000000-0006-0000-0000-000011000000}">
      <text>
        <r>
          <rPr>
            <b/>
            <sz val="9"/>
            <color indexed="81"/>
            <rFont val="Tahoma"/>
            <family val="2"/>
          </rPr>
          <t>Sidney:</t>
        </r>
        <r>
          <rPr>
            <sz val="9"/>
            <color indexed="81"/>
            <rFont val="Tahoma"/>
            <family val="2"/>
          </rPr>
          <t xml:space="preserve">
This column checks to make sure that the amount of seed depletion per mL of seed added is greater than 0.
If it is greater than zero, then the seed strength value will be shown here.  Units are mg/L of BOD per mL of seed added.</t>
        </r>
      </text>
    </comment>
    <comment ref="J20" authorId="0" shapeId="0" xr:uid="{00000000-0006-0000-0000-000012000000}">
      <text>
        <r>
          <rPr>
            <b/>
            <sz val="9"/>
            <color indexed="81"/>
            <rFont val="Tahoma"/>
            <charset val="1"/>
          </rPr>
          <t>Sidney:</t>
        </r>
        <r>
          <rPr>
            <sz val="9"/>
            <color indexed="81"/>
            <rFont val="Tahoma"/>
            <charset val="1"/>
          </rPr>
          <t xml:space="preserve">
This calculation (and all the ones below it in this column) says -- 
If the DO depletion is not greater than or equal to 2 mg/L 
OR
the final DO is less than 1 mg/L, enter "No"
If the DO depletion and residual are both acceptable, check to see if BOTH of these things are true:
1 - Seed Calculation result says "ERROR"
2 - The Seed Volume for this sample contains a number
If one or both is not true, enter "No"
If both are true, enter "Yes"</t>
        </r>
      </text>
    </comment>
    <comment ref="N20" authorId="0" shapeId="0" xr:uid="{00000000-0006-0000-0000-000013000000}">
      <text>
        <r>
          <rPr>
            <b/>
            <sz val="9"/>
            <color indexed="81"/>
            <rFont val="Tahoma"/>
            <charset val="1"/>
          </rPr>
          <t>Sidney:</t>
        </r>
        <r>
          <rPr>
            <sz val="9"/>
            <color indexed="81"/>
            <rFont val="Tahoma"/>
            <charset val="1"/>
          </rPr>
          <t xml:space="preserve">
This calculation (and all the ones below it) says:
IF any of these values are empty, leave this cell blank.  Sample volume, Final DO reading, or DO depletion.   Basically, don't do the calcuation if you don't have all the data.
IF all of the data is available (Sample volume, final DO reading, and DO depletion)
AND
1 - Depletion column says "NO"
2 - Sample volume is not greater than 270 mL
REJECT the result
The sample didn't deplete enough to be used in the calculation.  Since the sample volume isn't greater than 270 mL, there was room to increase the size.  Therefore, this calculation is not valid.  Use a bigger volume next time.
If all of the data is available (Sample volume, final DO reading, and DO depletion)
AND the sample result wasn't kicked out by the screening test above,
Complete the BOD calculation and return the result.  BOD results include seed correction when seed has been added to a sample bottle.</t>
        </r>
      </text>
    </comment>
    <comment ref="O20" authorId="0" shapeId="0" xr:uid="{00000000-0006-0000-0000-000014000000}">
      <text>
        <r>
          <rPr>
            <b/>
            <sz val="9"/>
            <color indexed="81"/>
            <rFont val="Tahoma"/>
            <family val="2"/>
          </rPr>
          <t>Sidney:</t>
        </r>
        <r>
          <rPr>
            <sz val="9"/>
            <color indexed="81"/>
            <rFont val="Tahoma"/>
            <family val="2"/>
          </rPr>
          <t xml:space="preserve">
Checks to see if there is at least one valid sample result.  If not, the word REJECT will appear.  If there is at least one good bottle, the results are averaged together to give a final result for the sample.
Calculation is the same in all cells below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Sidney</author>
    <author>corey</author>
  </authors>
  <commentList>
    <comment ref="J6" authorId="0" shapeId="0" xr:uid="{05197113-79A3-4AFC-BECD-57F93DBD6412}">
      <text>
        <r>
          <rPr>
            <b/>
            <sz val="9"/>
            <color indexed="81"/>
            <rFont val="Tahoma"/>
            <family val="2"/>
          </rPr>
          <t>Sidney:</t>
        </r>
        <r>
          <rPr>
            <sz val="9"/>
            <color indexed="81"/>
            <rFont val="Tahoma"/>
            <family val="2"/>
          </rPr>
          <t xml:space="preserve">
Calculates the seed strength by performing a linear regression (slope) from the seed strength results.</t>
        </r>
      </text>
    </comment>
    <comment ref="G7" authorId="1" shapeId="0" xr:uid="{DB90DB5C-D3E7-4A91-8E1D-0ABAEE4C8A5C}">
      <text>
        <r>
          <rPr>
            <sz val="9"/>
            <color indexed="81"/>
            <rFont val="Tahoma"/>
            <family val="2"/>
          </rPr>
          <t>Should be between 0.6 and 1.0 mg/L.  May be adjusted outside of this range to bring the standard within limits.</t>
        </r>
      </text>
    </comment>
    <comment ref="L11" authorId="0" shapeId="0" xr:uid="{640AE9F6-4968-4DB7-91E4-708CCD9A0158}">
      <text>
        <r>
          <rPr>
            <b/>
            <sz val="9"/>
            <color indexed="81"/>
            <rFont val="Tahoma"/>
            <charset val="1"/>
          </rPr>
          <t>Sidney:</t>
        </r>
        <r>
          <rPr>
            <sz val="9"/>
            <color indexed="81"/>
            <rFont val="Tahoma"/>
            <charset val="1"/>
          </rPr>
          <t xml:space="preserve">
This column is only used to calculate the BOD of the seed solution.
</t>
        </r>
      </text>
    </comment>
    <comment ref="I12" authorId="0" shapeId="0" xr:uid="{99E34319-4232-444C-9569-34EB957CB4ED}">
      <text>
        <r>
          <rPr>
            <b/>
            <sz val="9"/>
            <color indexed="81"/>
            <rFont val="Tahoma"/>
            <charset val="1"/>
          </rPr>
          <t>Sidney:</t>
        </r>
        <r>
          <rPr>
            <sz val="9"/>
            <color indexed="81"/>
            <rFont val="Tahoma"/>
            <charset val="1"/>
          </rPr>
          <t xml:space="preserve">
This cell says -- If the Int DO column and Fin DO column are empty -- no readings entered, then don't do anything.  No calculation and no result shows.
If values have been entered, subtract the final DO from the initial DO.</t>
        </r>
      </text>
    </comment>
    <comment ref="N12" authorId="0" shapeId="0" xr:uid="{C63B11D2-B7B0-438F-92CD-B15B0EDF332E}">
      <text>
        <r>
          <rPr>
            <b/>
            <sz val="9"/>
            <color indexed="81"/>
            <rFont val="Tahoma"/>
            <family val="2"/>
          </rPr>
          <t>Sidney:</t>
        </r>
        <r>
          <rPr>
            <sz val="9"/>
            <color indexed="81"/>
            <rFont val="Tahoma"/>
            <family val="2"/>
          </rPr>
          <t xml:space="preserve">
Formula checks to see if there is data entered for blank volume, blank depletion, and blank final DO.
If data is missing - no calculation performed.  cell stays blank.
If all data is present, checks to see if the blank depletion is less than 0.2 mg/L.
If it isn't (acceptable depletion column = no), enters "Reject"
If it is (acceptable depletion column = yes), enters the blank depletion amount.
=IFERROR(IF(OR(BlankVolume="",BlankDepletion="",BlankDOf=""),"",IF(BlankDepletionLessThan0.2="No","Reject",300/BlankVolume*(BlankDepletion-(Blank_Seed_Volume_Added*Seed_BOD_per_mL)))),300/BlankVolume*BlankDepletion)</t>
        </r>
      </text>
    </comment>
    <comment ref="J14" authorId="0" shapeId="0" xr:uid="{818AA71A-BE1E-43D7-8BFC-660B03DC1555}">
      <text>
        <r>
          <rPr>
            <b/>
            <sz val="9"/>
            <color indexed="81"/>
            <rFont val="Tahoma"/>
            <charset val="1"/>
          </rPr>
          <t>Sidney:</t>
        </r>
        <r>
          <rPr>
            <sz val="9"/>
            <color indexed="81"/>
            <rFont val="Tahoma"/>
            <charset val="1"/>
          </rPr>
          <t xml:space="preserve">
Calculation says -- 
If the DO depletion is not greater than or equal to 2 mg/L 
OR
the final DO is less than 1 mg/L, enter "No"
If the DO depletion and residual are both acceptable, check to see if BOTH of these things are true:
1 - Seed Calculation result says "ERROR"
2 - The Seed Volume for this sample contains a number
If one or both is not true, enter "No"
If both are true, enter "Yes"
</t>
        </r>
      </text>
    </comment>
    <comment ref="N14" authorId="0" shapeId="0" xr:uid="{ED86D696-8025-449B-B70E-48A08EBCB5F7}">
      <text>
        <r>
          <rPr>
            <b/>
            <sz val="9"/>
            <color indexed="81"/>
            <rFont val="Tahoma"/>
            <family val="2"/>
          </rPr>
          <t>Sidney:</t>
        </r>
        <r>
          <rPr>
            <sz val="9"/>
            <color indexed="81"/>
            <rFont val="Tahoma"/>
            <family val="2"/>
          </rPr>
          <t xml:space="preserve">
Calculation says:
IF any of these values are empty, leave this cell blank.  Sample volume, Final DO reading, or DO depletion.   Basically, don't do the calcuation if you don't have all the data.
IF all of the data is available (Sample volume, final DO reading, and DO depletion)
AND
1 - Depletion column says "NO"
2 - Sample volume is not greater than 270 mL
REJECT the result
The sample didn't deplete enough to be used in the calculation.  Since the sample volume isn't greater than 270 mL, there was room to increase the size.  Therefore, this calculation is not valid.  Use a bigger volume next time.
If all of the data is available (Sample volume, final DO reading, and DO depletion)
AND the sample result wasn't kicked out by the screening test above,
Complete the BOD calculation and return the result.  BOD results include seed correction when seed has been added to a sample bottle.</t>
        </r>
      </text>
    </comment>
    <comment ref="J16" authorId="0" shapeId="0" xr:uid="{0912C639-717F-4DEB-BEBB-482EF005CE30}">
      <text>
        <r>
          <rPr>
            <b/>
            <sz val="9"/>
            <color indexed="81"/>
            <rFont val="Tahoma"/>
            <charset val="1"/>
          </rPr>
          <t>Sidney:</t>
        </r>
        <r>
          <rPr>
            <sz val="9"/>
            <color indexed="81"/>
            <rFont val="Tahoma"/>
            <charset val="1"/>
          </rPr>
          <t xml:space="preserve">
Calculation says -- 
If the DO depletion is not greater than or equal to 2 mg/L 
OR
the final DO is less than 1 mg/L, enter "No"
If the DO depletion and residual are both acceptable, check to see if BOTH of these things are true:
1 - Seed Calculation result says "ERROR"
2 - The Seed Volume for this sample contains a number
If one or both is not true, enter "No"
If both are true, enter "Yes"</t>
        </r>
      </text>
    </comment>
    <comment ref="N16" authorId="0" shapeId="0" xr:uid="{612781DB-FBE0-44AE-811D-DD2F9B5ACB98}">
      <text>
        <r>
          <rPr>
            <b/>
            <sz val="9"/>
            <color indexed="81"/>
            <rFont val="Tahoma"/>
            <family val="2"/>
          </rPr>
          <t>Sidney:</t>
        </r>
        <r>
          <rPr>
            <sz val="9"/>
            <color indexed="81"/>
            <rFont val="Tahoma"/>
            <family val="2"/>
          </rPr>
          <t xml:space="preserve">
Calculation says:
IF any of these values are empty, leave this cell blank.  Sample volume, Final DO reading, or DO depletion.   Basically, don't do the calcuation if you don't have all the data.
IF all of the data is available (Sample volume, final DO reading, and DO depletion)
AND
1 - Depletion column says "NO"
2 - Sample volume is not greater than 270 mL
REJECT the result
The sample didn't deplete enough to be used in the calculation.  Since the sample volume isn't greater than 270 mL, there was room to increase the size.  Therefore, this calculation is not valid.  Use a bigger volume next time.
If all of the data is available (Sample volume, final DO reading, and DO depletion)
AND the sample result wasn't kicked out by the screening test above,
Complete the BOD calculation and return the result.  BOD results include seed correction when seed has been added to a sample bottle.</t>
        </r>
      </text>
    </comment>
    <comment ref="J17" authorId="0" shapeId="0" xr:uid="{3326038A-B52B-4246-B487-99B29303AF24}">
      <text>
        <r>
          <rPr>
            <b/>
            <sz val="9"/>
            <color indexed="81"/>
            <rFont val="Tahoma"/>
            <charset val="1"/>
          </rPr>
          <t>Sidney:</t>
        </r>
        <r>
          <rPr>
            <sz val="9"/>
            <color indexed="81"/>
            <rFont val="Tahoma"/>
            <charset val="1"/>
          </rPr>
          <t xml:space="preserve">
This calculation says -- IF both of these things are true, enter "Yes"
Final DO is &gt;1
Depletion is &gt;=2mg/L</t>
        </r>
      </text>
    </comment>
    <comment ref="L17" authorId="0" shapeId="0" xr:uid="{C133F9EA-BBA6-4240-B66E-D622EB9C9BD5}">
      <text>
        <r>
          <rPr>
            <b/>
            <sz val="9"/>
            <color indexed="81"/>
            <rFont val="Tahoma"/>
            <charset val="1"/>
          </rPr>
          <t>Sidney:</t>
        </r>
        <r>
          <rPr>
            <sz val="9"/>
            <color indexed="81"/>
            <rFont val="Tahoma"/>
            <charset val="1"/>
          </rPr>
          <t xml:space="preserve">
Calculation says:
Did this seed sample deplete at least 2 mg/L and have 1 mg/L remaining.  If the answer is YES, divide the amount of DO depletion by the mL of seed used.  Result is the seed strength as mg/L of DO depletion per mL of seed added.
If the answer is NO - returns "Reject".
</t>
        </r>
      </text>
    </comment>
    <comment ref="N17" authorId="0" shapeId="0" xr:uid="{7D6017EB-804C-462C-9466-8E8AEC3BAF95}">
      <text>
        <r>
          <rPr>
            <b/>
            <sz val="9"/>
            <color indexed="81"/>
            <rFont val="Tahoma"/>
            <family val="2"/>
          </rPr>
          <t>Sidney:</t>
        </r>
        <r>
          <rPr>
            <sz val="9"/>
            <color indexed="81"/>
            <rFont val="Tahoma"/>
            <family val="2"/>
          </rPr>
          <t xml:space="preserve">
This column checks to make sure that the amount of seed depletion per mL of seed added is greater than 0.
If it is greater than zero, then the seed strength value will be shown here.  Units are mg/L of BOD per mL of seed added.</t>
        </r>
      </text>
    </comment>
    <comment ref="O17" authorId="0" shapeId="0" xr:uid="{83E6A5E4-5E50-4313-97AA-76BE18189405}">
      <text>
        <r>
          <rPr>
            <b/>
            <sz val="9"/>
            <color indexed="81"/>
            <rFont val="Tahoma"/>
            <family val="2"/>
          </rPr>
          <t>Sidney:</t>
        </r>
        <r>
          <rPr>
            <sz val="9"/>
            <color indexed="81"/>
            <rFont val="Tahoma"/>
            <family val="2"/>
          </rPr>
          <t xml:space="preserve">
Calculation says… check to see if at least one of the seed dilutions has a calculated result.  If at least one result exists, average the results.</t>
        </r>
      </text>
    </comment>
    <comment ref="L18" authorId="0" shapeId="0" xr:uid="{EF77F193-05D1-4E0D-8130-68C75B75DCE1}">
      <text>
        <r>
          <rPr>
            <b/>
            <sz val="9"/>
            <color indexed="81"/>
            <rFont val="Tahoma"/>
            <charset val="1"/>
          </rPr>
          <t>Sidney:</t>
        </r>
        <r>
          <rPr>
            <sz val="9"/>
            <color indexed="81"/>
            <rFont val="Tahoma"/>
            <charset val="1"/>
          </rPr>
          <t xml:space="preserve">
Calculation says:
Did this seed sample deplete at least 2 mg/L and have 1 mg/L remaining.  If the answer is YES, divide the amount of DO depletion by the mL of seed used.  Result is the seed strength as mg/L of DO depletion per mL of seed added.
If the answer is NO - returns "Reject".
</t>
        </r>
      </text>
    </comment>
    <comment ref="N18" authorId="0" shapeId="0" xr:uid="{7E0F8C86-6FF6-4999-B738-24E08239D1D1}">
      <text>
        <r>
          <rPr>
            <b/>
            <sz val="9"/>
            <color indexed="81"/>
            <rFont val="Tahoma"/>
            <family val="2"/>
          </rPr>
          <t>Sidney:</t>
        </r>
        <r>
          <rPr>
            <sz val="9"/>
            <color indexed="81"/>
            <rFont val="Tahoma"/>
            <family val="2"/>
          </rPr>
          <t xml:space="preserve">
This column checks to make sure that the amount of seed depletion per mL of seed added is greater than 0.
If it is greater than zero, then the seed strength value will be shown here.  Units are mg/L of BOD per mL of seed added.</t>
        </r>
      </text>
    </comment>
    <comment ref="L19" authorId="0" shapeId="0" xr:uid="{5C51A4B8-72AA-4252-8898-3CDA74FC1143}">
      <text>
        <r>
          <rPr>
            <b/>
            <sz val="9"/>
            <color indexed="81"/>
            <rFont val="Tahoma"/>
            <charset val="1"/>
          </rPr>
          <t>Sidney:</t>
        </r>
        <r>
          <rPr>
            <sz val="9"/>
            <color indexed="81"/>
            <rFont val="Tahoma"/>
            <charset val="1"/>
          </rPr>
          <t xml:space="preserve">
Calculation says:
Did this seed sample deplete at least 2 mg/L and have 1 mg/L remaining.  If the answer is YES, divide the amount of DO depletion by the mL of seed used.  Result is the seed strength as mg/L of DO depletion per mL of seed added.
If the answer is NO - returns "Reject".
</t>
        </r>
      </text>
    </comment>
    <comment ref="N19" authorId="0" shapeId="0" xr:uid="{F038D506-E3E7-4957-8371-05FC91AFB5A8}">
      <text>
        <r>
          <rPr>
            <b/>
            <sz val="9"/>
            <color indexed="81"/>
            <rFont val="Tahoma"/>
            <family val="2"/>
          </rPr>
          <t>Sidney:</t>
        </r>
        <r>
          <rPr>
            <sz val="9"/>
            <color indexed="81"/>
            <rFont val="Tahoma"/>
            <family val="2"/>
          </rPr>
          <t xml:space="preserve">
This column checks to make sure that the amount of seed depletion per mL of seed added is greater than 0.
If it is greater than zero, then the seed strength value will be shown here.  Units are mg/L of BOD per mL of seed added.</t>
        </r>
      </text>
    </comment>
    <comment ref="J20" authorId="0" shapeId="0" xr:uid="{6DDAFB4D-2358-4C21-B210-193E532D0D06}">
      <text>
        <r>
          <rPr>
            <b/>
            <sz val="9"/>
            <color indexed="81"/>
            <rFont val="Tahoma"/>
            <charset val="1"/>
          </rPr>
          <t>Sidney:</t>
        </r>
        <r>
          <rPr>
            <sz val="9"/>
            <color indexed="81"/>
            <rFont val="Tahoma"/>
            <charset val="1"/>
          </rPr>
          <t xml:space="preserve">
This calculation (and all the ones below it in this column) says -- 
If the DO depletion is not greater than or equal to 2 mg/L 
OR
the final DO is less than 1 mg/L, enter "No"
If the DO depletion and residual are both acceptable, check to see if BOTH of these things are true:
1 - Seed Calculation result says "ERROR"
2 - The Seed Volume for this sample contains a number
If one or both is not true, enter "No"
If both are true, enter "Yes"</t>
        </r>
      </text>
    </comment>
    <comment ref="N20" authorId="0" shapeId="0" xr:uid="{239422DF-B2E5-4FD0-A25B-644CD8AE70F4}">
      <text>
        <r>
          <rPr>
            <b/>
            <sz val="9"/>
            <color indexed="81"/>
            <rFont val="Tahoma"/>
            <charset val="1"/>
          </rPr>
          <t>Sidney:</t>
        </r>
        <r>
          <rPr>
            <sz val="9"/>
            <color indexed="81"/>
            <rFont val="Tahoma"/>
            <charset val="1"/>
          </rPr>
          <t xml:space="preserve">
This calculation (and all the ones below it) says:
IF any of these values are empty, leave this cell blank.  Sample volume, Final DO reading, or DO depletion.   Basically, don't do the calcuation if you don't have all the data.
IF all of the data is available (Sample volume, final DO reading, and DO depletion)
AND
1 - Depletion column says "NO"
2 - Sample volume is not greater than 270 mL
REJECT the result
The sample didn't deplete enough to be used in the calculation.  Since the sample volume isn't greater than 270 mL, there was room to increase the size.  Therefore, this calculation is not valid.  Use a bigger volume next time.
If all of the data is available (Sample volume, final DO reading, and DO depletion)
AND the sample result wasn't kicked out by the screening test above,
Complete the BOD calculation and return the result.  BOD results include seed correction when seed has been added to a sample bottle.</t>
        </r>
      </text>
    </comment>
    <comment ref="O20" authorId="0" shapeId="0" xr:uid="{F9513870-BBE3-4CBF-A018-C7591EA4E8EC}">
      <text>
        <r>
          <rPr>
            <b/>
            <sz val="9"/>
            <color indexed="81"/>
            <rFont val="Tahoma"/>
            <family val="2"/>
          </rPr>
          <t>Sidney:</t>
        </r>
        <r>
          <rPr>
            <sz val="9"/>
            <color indexed="81"/>
            <rFont val="Tahoma"/>
            <family val="2"/>
          </rPr>
          <t xml:space="preserve">
Checks to see if there is at least one valid sample result.  If not, the word REJECT will appear.  If there is at least one good bottle, the results are averaged together to give a final result for the sample.
Calculation is the same in all cells below this one.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<sst xmlns="http://schemas.openxmlformats.org/spreadsheetml/2006/main" count="214" uniqueCount="101">
  <si>
    <t>Int DO</t>
  </si>
  <si>
    <t>Fin DO</t>
  </si>
  <si>
    <t>Net DO</t>
  </si>
  <si>
    <t>Blank</t>
  </si>
  <si>
    <t>Acceptable</t>
  </si>
  <si>
    <t>Seed</t>
  </si>
  <si>
    <t>QC</t>
  </si>
  <si>
    <t>In 300-mL Bottle</t>
  </si>
  <si>
    <t>All DO's below in mg/L</t>
  </si>
  <si>
    <t>BOD below in mg/L</t>
  </si>
  <si>
    <t>Bottle</t>
  </si>
  <si>
    <t>mLs seed</t>
  </si>
  <si>
    <t>Bottle BOD</t>
  </si>
  <si>
    <t xml:space="preserve">Reported </t>
  </si>
  <si>
    <t>#</t>
  </si>
  <si>
    <t>Sample 3</t>
  </si>
  <si>
    <t>Sample 4</t>
  </si>
  <si>
    <t>Time</t>
  </si>
  <si>
    <t>Analyst</t>
  </si>
  <si>
    <t>Date</t>
  </si>
  <si>
    <t>Data Validation/QC Checks</t>
  </si>
  <si>
    <t>Slope</t>
  </si>
  <si>
    <t xml:space="preserve">mLs sample </t>
  </si>
  <si>
    <t>(300*P)</t>
  </si>
  <si>
    <t>BOD IN</t>
  </si>
  <si>
    <t>BOD OUT</t>
  </si>
  <si>
    <t>Sample 2</t>
  </si>
  <si>
    <t>Pre-Analysis Information</t>
  </si>
  <si>
    <t>Seed*</t>
  </si>
  <si>
    <t>(P)</t>
  </si>
  <si>
    <r>
      <t xml:space="preserve">(s)= </t>
    </r>
    <r>
      <rPr>
        <i/>
        <sz val="10"/>
        <rFont val="Calibri"/>
        <family val="2"/>
        <scheme val="minor"/>
      </rPr>
      <t/>
    </r>
  </si>
  <si>
    <t>DF</t>
  </si>
  <si>
    <t>mg/L/mL</t>
  </si>
  <si>
    <t>y-int=</t>
  </si>
  <si>
    <r>
      <rPr>
        <sz val="10"/>
        <color rgb="FF000000"/>
        <rFont val="Times New Roman"/>
        <family val="1"/>
      </rPr>
      <t xml:space="preserve">⁮ </t>
    </r>
    <r>
      <rPr>
        <sz val="10"/>
        <color rgb="FF000000"/>
        <rFont val="Calibri"/>
        <family val="2"/>
        <scheme val="minor"/>
      </rPr>
      <t>There are no red cells in the Reported BOD</t>
    </r>
    <r>
      <rPr>
        <vertAlign val="subscript"/>
        <sz val="10"/>
        <color rgb="FF000000"/>
        <rFont val="Calibri"/>
        <family val="2"/>
        <scheme val="minor"/>
      </rPr>
      <t>5</t>
    </r>
    <r>
      <rPr>
        <sz val="10"/>
        <color rgb="FF000000"/>
        <rFont val="Calibri"/>
        <family val="2"/>
        <scheme val="minor"/>
      </rPr>
      <t xml:space="preserve"> column</t>
    </r>
  </si>
  <si>
    <r>
      <rPr>
        <sz val="10"/>
        <color rgb="FF000000"/>
        <rFont val="Times New Roman"/>
        <family val="1"/>
      </rPr>
      <t xml:space="preserve">⁮ </t>
    </r>
    <r>
      <rPr>
        <sz val="10"/>
        <color rgb="FF000000"/>
        <rFont val="Calibri"/>
        <family val="2"/>
        <scheme val="minor"/>
      </rPr>
      <t>All sample pH between 6-8</t>
    </r>
  </si>
  <si>
    <t>Sampler</t>
  </si>
  <si>
    <r>
      <rPr>
        <sz val="10"/>
        <color rgb="FF000000"/>
        <rFont val="Times New Roman"/>
        <family val="1"/>
      </rPr>
      <t xml:space="preserve">⁮ </t>
    </r>
    <r>
      <rPr>
        <sz val="10"/>
        <color rgb="FF000000"/>
        <rFont val="Calibri"/>
        <family val="2"/>
        <scheme val="minor"/>
      </rPr>
      <t>Seed strength (</t>
    </r>
    <r>
      <rPr>
        <i/>
        <sz val="10"/>
        <color rgb="FF000000"/>
        <rFont val="Calibri"/>
        <family val="2"/>
        <scheme val="minor"/>
      </rPr>
      <t>s</t>
    </r>
    <r>
      <rPr>
        <sz val="10"/>
        <color rgb="FF000000"/>
        <rFont val="Calibri"/>
        <family val="2"/>
        <scheme val="minor"/>
      </rPr>
      <t>) is between 0.6-1.0</t>
    </r>
  </si>
  <si>
    <r>
      <t>(V</t>
    </r>
    <r>
      <rPr>
        <i/>
        <vertAlign val="subscript"/>
        <sz val="9"/>
        <rFont val="Calibri"/>
        <family val="2"/>
        <scheme val="minor"/>
      </rPr>
      <t>s</t>
    </r>
    <r>
      <rPr>
        <i/>
        <sz val="9"/>
        <rFont val="Calibri"/>
        <family val="2"/>
        <scheme val="minor"/>
      </rPr>
      <t>)</t>
    </r>
  </si>
  <si>
    <r>
      <t>(D</t>
    </r>
    <r>
      <rPr>
        <i/>
        <vertAlign val="subscript"/>
        <sz val="9"/>
        <rFont val="Calibri"/>
        <family val="2"/>
        <scheme val="minor"/>
      </rPr>
      <t>1</t>
    </r>
    <r>
      <rPr>
        <i/>
        <sz val="9"/>
        <rFont val="Calibri"/>
        <family val="2"/>
        <scheme val="minor"/>
      </rPr>
      <t>)</t>
    </r>
  </si>
  <si>
    <r>
      <t>(D</t>
    </r>
    <r>
      <rPr>
        <i/>
        <vertAlign val="subscript"/>
        <sz val="9"/>
        <rFont val="Calibri"/>
        <family val="2"/>
        <scheme val="minor"/>
      </rPr>
      <t>2</t>
    </r>
    <r>
      <rPr>
        <i/>
        <sz val="9"/>
        <rFont val="Calibri"/>
        <family val="2"/>
        <scheme val="minor"/>
      </rPr>
      <t>)</t>
    </r>
  </si>
  <si>
    <r>
      <t>(D</t>
    </r>
    <r>
      <rPr>
        <i/>
        <vertAlign val="subscript"/>
        <sz val="9"/>
        <rFont val="Calibri"/>
        <family val="2"/>
        <scheme val="minor"/>
      </rPr>
      <t>1</t>
    </r>
    <r>
      <rPr>
        <i/>
        <sz val="9"/>
        <rFont val="Calibri"/>
        <family val="2"/>
        <scheme val="minor"/>
      </rPr>
      <t>-D</t>
    </r>
    <r>
      <rPr>
        <i/>
        <vertAlign val="subscript"/>
        <sz val="9"/>
        <rFont val="Calibri"/>
        <family val="2"/>
        <scheme val="minor"/>
      </rPr>
      <t>2</t>
    </r>
    <r>
      <rPr>
        <i/>
        <sz val="9"/>
        <rFont val="Calibri"/>
        <family val="2"/>
        <scheme val="minor"/>
      </rPr>
      <t>)</t>
    </r>
  </si>
  <si>
    <r>
      <t>BOD</t>
    </r>
    <r>
      <rPr>
        <vertAlign val="subscript"/>
        <sz val="9"/>
        <color theme="1"/>
        <rFont val="Calibri"/>
        <family val="2"/>
        <scheme val="minor"/>
      </rPr>
      <t>5</t>
    </r>
  </si>
  <si>
    <r>
      <t>BOD</t>
    </r>
    <r>
      <rPr>
        <vertAlign val="subscript"/>
        <sz val="9"/>
        <rFont val="Calibri"/>
        <family val="2"/>
        <scheme val="minor"/>
      </rPr>
      <t>5</t>
    </r>
  </si>
  <si>
    <r>
      <rPr>
        <sz val="10"/>
        <color rgb="FF000000"/>
        <rFont val="Times New Roman"/>
        <family val="1"/>
      </rPr>
      <t xml:space="preserve">⁮ </t>
    </r>
    <r>
      <rPr>
        <sz val="10"/>
        <color rgb="FF000000"/>
        <rFont val="Calibri"/>
        <family val="2"/>
        <scheme val="minor"/>
      </rPr>
      <t>Blank  Depletions are less than 0.2 mg/L of DO</t>
    </r>
  </si>
  <si>
    <t>Sample 1</t>
  </si>
  <si>
    <t>GGA 2</t>
  </si>
  <si>
    <t>GGA 1</t>
  </si>
  <si>
    <r>
      <rPr>
        <sz val="10"/>
        <color rgb="FF000000"/>
        <rFont val="Times New Roman"/>
        <family val="1"/>
      </rPr>
      <t xml:space="preserve">⁮ </t>
    </r>
    <r>
      <rPr>
        <sz val="10"/>
        <color rgb="FF000000"/>
        <rFont val="Calibri"/>
        <family val="2"/>
        <scheme val="minor"/>
      </rPr>
      <t>GGA Standard has BOD</t>
    </r>
    <r>
      <rPr>
        <vertAlign val="subscript"/>
        <sz val="10"/>
        <color rgb="FF000000"/>
        <rFont val="Calibri"/>
        <family val="2"/>
        <scheme val="minor"/>
      </rPr>
      <t>5</t>
    </r>
    <r>
      <rPr>
        <sz val="10"/>
        <color rgb="FF000000"/>
        <rFont val="Calibri"/>
        <family val="2"/>
        <scheme val="minor"/>
      </rPr>
      <t xml:space="preserve"> value of 198 </t>
    </r>
    <r>
      <rPr>
        <u/>
        <sz val="10"/>
        <color rgb="FF000000"/>
        <rFont val="Calibri"/>
        <family val="2"/>
        <scheme val="minor"/>
      </rPr>
      <t>+</t>
    </r>
    <r>
      <rPr>
        <sz val="10"/>
        <color rgb="FF000000"/>
        <rFont val="Calibri"/>
        <family val="2"/>
        <scheme val="minor"/>
      </rPr>
      <t xml:space="preserve"> 30.5 mg/L</t>
    </r>
  </si>
  <si>
    <t>Sample 5</t>
  </si>
  <si>
    <t>Sample 6</t>
  </si>
  <si>
    <t>Sample 7</t>
  </si>
  <si>
    <t xml:space="preserve">Sample </t>
  </si>
  <si>
    <t>Sample 8</t>
  </si>
  <si>
    <r>
      <t xml:space="preserve">Seed Calculation </t>
    </r>
    <r>
      <rPr>
        <u/>
        <sz val="10"/>
        <color theme="1"/>
        <rFont val="Calibri"/>
        <family val="2"/>
        <scheme val="minor"/>
      </rPr>
      <t>(*Seed is Primary Influent Supernatent):</t>
    </r>
  </si>
  <si>
    <t>Polyseed</t>
  </si>
  <si>
    <t>Depletion</t>
  </si>
  <si>
    <t>Volume Greater</t>
  </si>
  <si>
    <t>Than 270 mL?</t>
  </si>
  <si>
    <t>Strength</t>
  </si>
  <si>
    <t>Should be 198 mg/L +/- 30 mg/L</t>
  </si>
  <si>
    <t>mg/L per mL</t>
  </si>
  <si>
    <t>seed used</t>
  </si>
  <si>
    <t>Add enough seed to standards and samples to get between 0.6 and 1.0 mg/L of DO depletion.</t>
  </si>
  <si>
    <t>At least one seed bottle must use 2 mg/L of DO.</t>
  </si>
  <si>
    <t>Seed volume may be adjusted outside of this window to make the GGA standard come in.</t>
  </si>
  <si>
    <t>Always add the same volume of seed to GGA standards and samples.</t>
  </si>
  <si>
    <t>NOTES:</t>
  </si>
  <si>
    <t>Sample results are rejected if:</t>
  </si>
  <si>
    <t xml:space="preserve">     Sample without seed contribution does not deplete at least 2 mg/L.</t>
  </si>
  <si>
    <t xml:space="preserve">     Sample does not have at least 1 mg/L of DO remaining at the end of the test.</t>
  </si>
  <si>
    <t>Must be &lt;0.2 mg/L (dilution water blank)</t>
  </si>
  <si>
    <t>mg/L of seed depletion expected.</t>
  </si>
  <si>
    <t>Effluent</t>
  </si>
  <si>
    <t>Influent</t>
  </si>
  <si>
    <t>DO Probe</t>
  </si>
  <si>
    <t>pH of dilution water:</t>
  </si>
  <si>
    <t>Temperature of Dilution Water:</t>
  </si>
  <si>
    <t>Comments:</t>
  </si>
  <si>
    <t>Raw Result - No QA/QC</t>
  </si>
  <si>
    <t>DO NOT USE FOR REPORTING</t>
  </si>
  <si>
    <t>GGA 3</t>
  </si>
  <si>
    <t>Average of 3 bottles must fall within range.</t>
  </si>
  <si>
    <t>Average</t>
  </si>
  <si>
    <t>5</t>
  </si>
  <si>
    <t>8</t>
  </si>
  <si>
    <t>1</t>
  </si>
  <si>
    <t>51</t>
  </si>
  <si>
    <t>13</t>
  </si>
  <si>
    <t>9</t>
  </si>
  <si>
    <t>7</t>
  </si>
  <si>
    <t>3</t>
  </si>
  <si>
    <t>18</t>
  </si>
  <si>
    <t>17</t>
  </si>
  <si>
    <t>16</t>
  </si>
  <si>
    <t>2</t>
  </si>
  <si>
    <t>19</t>
  </si>
  <si>
    <t>38</t>
  </si>
  <si>
    <t>52</t>
  </si>
  <si>
    <t xml:space="preserve"> </t>
  </si>
  <si>
    <t>Password: Indigo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</si>
</sst>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0.000"/>
    <numFmt numFmtId="166" formatCode="0.0%"/>
  </numFmts>
  <fonts count="45" x14ac:knownFonts="1">
    <font>
      <sz val="11"/>
      <color theme="1"/>
      <name val="Calibri"/>
      <family val="2"/>
      <scheme val="minor"/>
    </font>
    <font>
      <sz val="10"/>
      <name val="Arial"/>
      <family val="2"/>
    </font>
    <font>
      <sz val="8"/>
      <color theme="1"/>
      <name val="Palatino Linotype"/>
      <family val="1"/>
    </font>
    <font>
      <sz val="12"/>
      <color theme="1"/>
      <name val="Palatino Linotype"/>
      <family val="1"/>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b/>
      <sz val="10"/>
      <name val="Calibri"/>
      <family val="2"/>
      <scheme val="minor"/>
    </font>
    <font>
      <sz val="7"/>
      <color theme="1"/>
      <name val="Calibri"/>
      <family val="2"/>
      <scheme val="minor"/>
    </font>
    <font>
      <sz val="7"/>
      <color rgb="FF000000"/>
      <name val="Symbol"/>
      <family val="1"/>
      <charset val="2"/>
    </font>
    <font>
      <i/>
      <sz val="10"/>
      <name val="Calibri"/>
      <family val="2"/>
      <scheme val="minor"/>
    </font>
    <font>
      <sz val="9"/>
      <color rgb="FF000000"/>
      <name val="Symbol"/>
      <family val="1"/>
      <charset val="2"/>
    </font>
    <font>
      <b/>
      <u/>
      <sz val="12"/>
      <name val="Calibri"/>
      <family val="2"/>
      <scheme val="minor"/>
    </font>
    <font>
      <sz val="12"/>
      <name val="Calibri"/>
      <family val="2"/>
      <scheme val="minor"/>
    </font>
    <font>
      <b/>
      <u/>
      <sz val="10"/>
      <color theme="1"/>
      <name val="Calibri"/>
      <family val="2"/>
      <scheme val="minor"/>
    </font>
    <font>
      <b/>
      <sz val="11"/>
      <color theme="1"/>
      <name val="Calibri"/>
      <family val="2"/>
      <scheme val="minor"/>
    </font>
    <font>
      <b/>
      <i/>
      <sz val="10"/>
      <name val="Calibri"/>
      <family val="2"/>
      <scheme val="minor"/>
    </font>
    <font>
      <u/>
      <sz val="10"/>
      <color theme="1"/>
      <name val="Calibri"/>
      <family val="2"/>
      <scheme val="minor"/>
    </font>
    <font>
      <b/>
      <sz val="11"/>
      <name val="Calibri"/>
      <family val="2"/>
      <scheme val="minor"/>
    </font>
    <font>
      <sz val="10"/>
      <color rgb="FF000000"/>
      <name val="Symbol"/>
      <family val="1"/>
      <charset val="2"/>
    </font>
    <font>
      <sz val="10"/>
      <color rgb="FF000000"/>
      <name val="Times New Roman"/>
      <family val="1"/>
    </font>
    <font>
      <sz val="10"/>
      <color rgb="FF000000"/>
      <name val="Calibri"/>
      <family val="2"/>
      <scheme val="minor"/>
    </font>
    <font>
      <vertAlign val="subscript"/>
      <sz val="10"/>
      <color rgb="FF000000"/>
      <name val="Calibri"/>
      <family val="2"/>
      <scheme val="minor"/>
    </font>
    <font>
      <u/>
      <sz val="10"/>
      <color rgb="FF000000"/>
      <name val="Calibri"/>
      <family val="2"/>
      <scheme val="minor"/>
    </font>
    <font>
      <i/>
      <sz val="10"/>
      <color rgb="FF000000"/>
      <name val="Calibri"/>
      <family val="2"/>
      <scheme val="minor"/>
    </font>
    <font>
      <sz val="9"/>
      <color theme="1"/>
      <name val="Calibri"/>
      <family val="2"/>
      <scheme val="minor"/>
    </font>
    <font>
      <i/>
      <sz val="9"/>
      <name val="Calibri"/>
      <family val="2"/>
      <scheme val="minor"/>
    </font>
    <font>
      <i/>
      <vertAlign val="subscript"/>
      <sz val="9"/>
      <name val="Calibri"/>
      <family val="2"/>
      <scheme val="minor"/>
    </font>
    <font>
      <sz val="9"/>
      <name val="Calibri"/>
      <family val="2"/>
      <scheme val="minor"/>
    </font>
    <font>
      <vertAlign val="subscript"/>
      <sz val="9"/>
      <color theme="1"/>
      <name val="Calibri"/>
      <family val="2"/>
      <scheme val="minor"/>
    </font>
    <font>
      <vertAlign val="subscript"/>
      <sz val="9"/>
      <name val="Calibri"/>
      <family val="2"/>
      <scheme val="minor"/>
    </font>
    <font>
      <sz val="11"/>
      <color theme="1"/>
      <name val="Calibri"/>
      <family val="2"/>
      <scheme val="minor"/>
    </font>
    <font>
      <b/>
      <sz val="12"/>
      <color rgb="FF0070C0"/>
      <name val="Calibri"/>
      <family val="2"/>
      <scheme val="minor"/>
    </font>
    <font>
      <b/>
      <sz val="11"/>
      <color rgb="FF0070C0"/>
      <name val="Calibri"/>
      <family val="2"/>
      <scheme val="minor"/>
    </font>
    <font>
      <sz val="9"/>
      <color indexed="81"/>
      <name val="Tahoma"/>
      <family val="2"/>
    </font>
    <font>
      <b/>
      <sz val="8"/>
      <color rgb="FFFF0000"/>
      <name val="Palatino Linotype"/>
      <family val="1"/>
    </font>
    <font>
      <sz val="9"/>
      <color indexed="81"/>
      <name val="Tahoma"/>
      <charset val="1"/>
    </font>
    <font>
      <b/>
      <sz val="9"/>
      <color indexed="81"/>
      <name val="Tahoma"/>
      <charset val="1"/>
    </font>
    <font>
      <b/>
      <sz val="9"/>
      <color indexed="81"/>
      <name val="Tahoma"/>
      <family val="2"/>
    </font>
    <font>
      <sz val="8"/>
      <color theme="1"/>
      <name val="Arial"/>
      <family val="2"/>
    </font>
    <font>
      <sz val="10"/>
      <color rgb="FF000000"/>
      <name val="Arial"/>
      <family val="2"/>
    </font>
    <font>
      <b/>
      <sz val="8"/>
      <color rgb="FFFF0000"/>
      <name val="Arial"/>
      <family val="2"/>
    </font>
    <font>
      <b/>
      <sz val="10"/>
      <color rgb="FFFF0000"/>
      <name val="Arial"/>
      <family val="2"/>
    </font>
    <font>
      <b/>
      <sz val="9"/>
      <color rgb="FFFF0000"/>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4.9989318521683403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diagonalUp="1" diagonalDown="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s>
  <cellStyleXfs count="6">
    <xf numFmtId="0" fontId="0"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cellStyleXfs>
  <cellXfs count="220">
    <xf numFmtId="0" fontId="0" fillId="0" borderId="0" xfId="0"/>
    <xf numFmtId="0" fontId="2" fillId="0" borderId="0" xfId="0" applyFont="1"/>
    <xf numFmtId="0" fontId="6" fillId="0" borderId="0" xfId="0" applyFont="1"/>
    <xf numFmtId="0" fontId="9" fillId="0" borderId="0" xfId="0" applyFont="1"/>
    <xf numFmtId="0" fontId="11" fillId="0" borderId="0" xfId="1" applyFont="1" applyAlignment="1">
      <alignment horizontal="right" vertical="top"/>
    </xf>
    <xf numFmtId="0" fontId="12" fillId="0" borderId="0" xfId="0" applyFont="1"/>
    <xf numFmtId="0" fontId="13" fillId="0" borderId="0" xfId="2" applyFont="1" applyAlignment="1">
      <alignment horizontal="left"/>
    </xf>
    <xf numFmtId="2" fontId="0" fillId="0" borderId="0" xfId="0" applyNumberFormat="1"/>
    <xf numFmtId="0" fontId="10" fillId="0" borderId="0" xfId="0" applyFont="1"/>
    <xf numFmtId="0" fontId="8" fillId="0" borderId="0" xfId="2" applyFont="1" applyAlignment="1">
      <alignment horizontal="right" vertical="top"/>
    </xf>
    <xf numFmtId="14" fontId="6" fillId="2" borderId="4" xfId="0" applyNumberFormat="1" applyFont="1" applyFill="1" applyBorder="1" applyAlignment="1">
      <alignment horizontal="center"/>
    </xf>
    <xf numFmtId="14" fontId="6" fillId="3" borderId="2" xfId="0" applyNumberFormat="1" applyFont="1" applyFill="1" applyBorder="1" applyAlignment="1" applyProtection="1">
      <alignment horizontal="center"/>
      <protection locked="0"/>
    </xf>
    <xf numFmtId="164" fontId="6" fillId="3" borderId="9" xfId="0" applyNumberFormat="1" applyFont="1" applyFill="1" applyBorder="1" applyAlignment="1" applyProtection="1">
      <alignment horizontal="center"/>
      <protection locked="0"/>
    </xf>
    <xf numFmtId="164" fontId="6" fillId="3" borderId="11" xfId="0" applyNumberFormat="1" applyFont="1" applyFill="1" applyBorder="1" applyAlignment="1" applyProtection="1">
      <alignment horizontal="center"/>
      <protection locked="0"/>
    </xf>
    <xf numFmtId="0" fontId="6" fillId="3" borderId="5"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6" fillId="3" borderId="2" xfId="0" applyFont="1" applyFill="1" applyBorder="1" applyAlignment="1" applyProtection="1">
      <alignment horizontal="center"/>
      <protection locked="0"/>
    </xf>
    <xf numFmtId="0" fontId="6" fillId="3" borderId="4" xfId="0" applyFont="1" applyFill="1" applyBorder="1" applyAlignment="1" applyProtection="1">
      <alignment horizontal="center"/>
      <protection locked="0"/>
    </xf>
    <xf numFmtId="0" fontId="15" fillId="0" borderId="0" xfId="0" applyFont="1"/>
    <xf numFmtId="0" fontId="17" fillId="0" borderId="0" xfId="1" applyFont="1" applyAlignment="1">
      <alignment horizontal="right" vertical="top"/>
    </xf>
    <xf numFmtId="0" fontId="7" fillId="0" borderId="0" xfId="0" applyFont="1"/>
    <xf numFmtId="0" fontId="19" fillId="0" borderId="0" xfId="2" applyFont="1" applyAlignment="1">
      <alignment horizontal="left"/>
    </xf>
    <xf numFmtId="0" fontId="4" fillId="0" borderId="24" xfId="0" applyFont="1" applyBorder="1" applyAlignment="1">
      <alignment vertical="center"/>
    </xf>
    <xf numFmtId="0" fontId="20" fillId="0" borderId="0" xfId="0" applyFont="1" applyAlignment="1">
      <alignment vertical="center"/>
    </xf>
    <xf numFmtId="164" fontId="6" fillId="4" borderId="11" xfId="0" applyNumberFormat="1" applyFont="1" applyFill="1" applyBorder="1" applyAlignment="1" applyProtection="1">
      <alignment horizontal="center"/>
      <protection locked="0"/>
    </xf>
    <xf numFmtId="0" fontId="16" fillId="0" borderId="0" xfId="0" applyFont="1" applyAlignment="1">
      <alignment horizontal="center"/>
    </xf>
    <xf numFmtId="165" fontId="0" fillId="0" borderId="0" xfId="0" applyNumberFormat="1"/>
    <xf numFmtId="0" fontId="27" fillId="0" borderId="15" xfId="1" applyFont="1" applyBorder="1" applyAlignment="1">
      <alignment horizontal="center"/>
    </xf>
    <xf numFmtId="0" fontId="27" fillId="0" borderId="0" xfId="1" applyFont="1" applyAlignment="1">
      <alignment horizontal="center"/>
    </xf>
    <xf numFmtId="0" fontId="29" fillId="0" borderId="15" xfId="1" applyFont="1" applyBorder="1" applyAlignment="1">
      <alignment horizontal="center"/>
    </xf>
    <xf numFmtId="0" fontId="29" fillId="0" borderId="16" xfId="1" applyFont="1" applyBorder="1" applyAlignment="1">
      <alignment horizontal="center"/>
    </xf>
    <xf numFmtId="10" fontId="6" fillId="3" borderId="21" xfId="0" applyNumberFormat="1" applyFont="1" applyFill="1" applyBorder="1" applyProtection="1">
      <protection locked="0"/>
    </xf>
    <xf numFmtId="0" fontId="4" fillId="0" borderId="0" xfId="0" applyFont="1" applyAlignment="1">
      <alignment horizontal="left"/>
    </xf>
    <xf numFmtId="0" fontId="5" fillId="0" borderId="0" xfId="0" applyFont="1" applyAlignment="1" applyProtection="1">
      <alignment horizontal="center"/>
      <protection locked="0"/>
    </xf>
    <xf numFmtId="0" fontId="5" fillId="0" borderId="0" xfId="0" applyFont="1" applyAlignment="1">
      <alignment horizontal="center"/>
    </xf>
    <xf numFmtId="0" fontId="14" fillId="0" borderId="0" xfId="0" applyFont="1" applyAlignment="1" applyProtection="1">
      <alignment horizontal="center"/>
      <protection locked="0"/>
    </xf>
    <xf numFmtId="0" fontId="14" fillId="0" borderId="0" xfId="0" applyFont="1" applyAlignment="1">
      <alignment horizontal="center"/>
    </xf>
    <xf numFmtId="2" fontId="14" fillId="0" borderId="0" xfId="0" applyNumberFormat="1" applyFont="1" applyAlignment="1">
      <alignment horizontal="center"/>
    </xf>
    <xf numFmtId="2" fontId="2" fillId="0" borderId="0" xfId="0" applyNumberFormat="1" applyFont="1"/>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26" fillId="0" borderId="14" xfId="0" applyFont="1" applyBorder="1" applyAlignment="1">
      <alignment horizontal="center"/>
    </xf>
    <xf numFmtId="0" fontId="5" fillId="0" borderId="10" xfId="0" applyFont="1" applyBorder="1" applyAlignment="1">
      <alignment horizontal="center"/>
    </xf>
    <xf numFmtId="2" fontId="5" fillId="0" borderId="13" xfId="0" applyNumberFormat="1" applyFont="1" applyBorder="1" applyAlignment="1">
      <alignment horizontal="center"/>
    </xf>
    <xf numFmtId="2" fontId="5" fillId="0" borderId="28" xfId="0" applyNumberFormat="1" applyFont="1" applyBorder="1" applyAlignment="1">
      <alignment horizontal="center"/>
    </xf>
    <xf numFmtId="0" fontId="4" fillId="0" borderId="32" xfId="0" applyFont="1" applyBorder="1" applyAlignment="1">
      <alignment horizontal="left"/>
    </xf>
    <xf numFmtId="49" fontId="5" fillId="0" borderId="3" xfId="0" applyNumberFormat="1" applyFont="1" applyBorder="1" applyAlignment="1" applyProtection="1">
      <alignment horizontal="center"/>
      <protection locked="0"/>
    </xf>
    <xf numFmtId="0" fontId="5" fillId="0" borderId="3" xfId="0" applyFont="1" applyBorder="1" applyAlignment="1" applyProtection="1">
      <alignment horizontal="center"/>
      <protection locked="0"/>
    </xf>
    <xf numFmtId="2" fontId="5" fillId="0" borderId="3" xfId="0" applyNumberFormat="1" applyFont="1" applyBorder="1" applyAlignment="1" applyProtection="1">
      <alignment horizontal="center"/>
      <protection locked="0"/>
    </xf>
    <xf numFmtId="0" fontId="5" fillId="0" borderId="3" xfId="0" applyFont="1" applyBorder="1" applyAlignment="1">
      <alignment horizontal="center"/>
    </xf>
    <xf numFmtId="2" fontId="5" fillId="0" borderId="9" xfId="0" applyNumberFormat="1" applyFont="1" applyBorder="1" applyAlignment="1">
      <alignment horizontal="center"/>
    </xf>
    <xf numFmtId="0" fontId="4" fillId="0" borderId="33" xfId="0" applyFont="1" applyBorder="1" applyAlignment="1">
      <alignment horizontal="left"/>
    </xf>
    <xf numFmtId="49" fontId="5" fillId="0" borderId="5" xfId="0" applyNumberFormat="1" applyFont="1" applyBorder="1" applyAlignment="1" applyProtection="1">
      <alignment horizontal="center"/>
      <protection locked="0"/>
    </xf>
    <xf numFmtId="0" fontId="5" fillId="0" borderId="5" xfId="0" applyFont="1" applyBorder="1" applyAlignment="1" applyProtection="1">
      <alignment horizontal="center"/>
      <protection locked="0"/>
    </xf>
    <xf numFmtId="2" fontId="5" fillId="0" borderId="5" xfId="0" applyNumberFormat="1" applyFont="1" applyBorder="1" applyAlignment="1" applyProtection="1">
      <alignment horizontal="center"/>
      <protection locked="0"/>
    </xf>
    <xf numFmtId="0" fontId="5" fillId="0" borderId="5" xfId="0" applyFont="1" applyBorder="1" applyAlignment="1">
      <alignment horizontal="center"/>
    </xf>
    <xf numFmtId="2" fontId="5" fillId="0" borderId="11" xfId="0" applyNumberFormat="1" applyFont="1" applyBorder="1" applyAlignment="1">
      <alignment horizontal="center"/>
    </xf>
    <xf numFmtId="0" fontId="4" fillId="0" borderId="32" xfId="0" applyFont="1" applyBorder="1" applyAlignment="1" applyProtection="1">
      <alignment horizontal="left"/>
      <protection locked="0"/>
    </xf>
    <xf numFmtId="2" fontId="5" fillId="0" borderId="21" xfId="0" applyNumberFormat="1" applyFont="1" applyBorder="1" applyAlignment="1">
      <alignment horizontal="center"/>
    </xf>
    <xf numFmtId="0" fontId="4" fillId="0" borderId="34" xfId="0" applyFont="1" applyBorder="1" applyAlignment="1">
      <alignment horizontal="left"/>
    </xf>
    <xf numFmtId="49" fontId="5" fillId="0" borderId="1" xfId="0" applyNumberFormat="1" applyFont="1" applyBorder="1" applyAlignment="1" applyProtection="1">
      <alignment horizontal="center"/>
      <protection locked="0"/>
    </xf>
    <xf numFmtId="0" fontId="5" fillId="0" borderId="1" xfId="0" applyFont="1" applyBorder="1" applyAlignment="1" applyProtection="1">
      <alignment horizontal="center"/>
      <protection locked="0"/>
    </xf>
    <xf numFmtId="2" fontId="5" fillId="0" borderId="1" xfId="0" applyNumberFormat="1" applyFont="1" applyBorder="1" applyAlignment="1" applyProtection="1">
      <alignment horizontal="center"/>
      <protection locked="0"/>
    </xf>
    <xf numFmtId="0" fontId="5" fillId="0" borderId="1" xfId="0" applyFont="1" applyBorder="1" applyAlignment="1">
      <alignment horizontal="center"/>
    </xf>
    <xf numFmtId="2" fontId="5" fillId="0" borderId="30" xfId="0" applyNumberFormat="1" applyFont="1" applyBorder="1" applyAlignment="1">
      <alignment horizontal="center"/>
    </xf>
    <xf numFmtId="2" fontId="5" fillId="0" borderId="31" xfId="0" applyNumberFormat="1" applyFont="1" applyBorder="1" applyAlignment="1">
      <alignment horizontal="center" vertical="top"/>
    </xf>
    <xf numFmtId="2" fontId="5" fillId="0" borderId="18" xfId="0" applyNumberFormat="1" applyFont="1" applyBorder="1" applyAlignment="1">
      <alignment horizontal="center"/>
    </xf>
    <xf numFmtId="2" fontId="5" fillId="0" borderId="29" xfId="0" applyNumberFormat="1" applyFont="1" applyBorder="1" applyAlignment="1">
      <alignment horizontal="center" vertical="top"/>
    </xf>
    <xf numFmtId="0" fontId="14" fillId="0" borderId="6" xfId="0" applyFont="1" applyBorder="1" applyAlignment="1">
      <alignment horizontal="center"/>
    </xf>
    <xf numFmtId="0" fontId="14" fillId="0" borderId="3" xfId="0" applyFont="1" applyBorder="1" applyAlignment="1">
      <alignment horizontal="center"/>
    </xf>
    <xf numFmtId="0" fontId="14" fillId="0" borderId="5" xfId="0" applyFont="1" applyBorder="1" applyAlignment="1">
      <alignment horizontal="center"/>
    </xf>
    <xf numFmtId="0" fontId="14" fillId="0" borderId="1" xfId="0" applyFont="1" applyBorder="1" applyAlignment="1">
      <alignment horizontal="center"/>
    </xf>
    <xf numFmtId="0" fontId="21" fillId="0" borderId="0" xfId="0" applyFont="1" applyAlignment="1">
      <alignment vertical="center"/>
    </xf>
    <xf numFmtId="2" fontId="6" fillId="0" borderId="10" xfId="0" applyNumberFormat="1" applyFont="1" applyBorder="1" applyAlignment="1">
      <alignment horizontal="center" vertical="center"/>
    </xf>
    <xf numFmtId="2" fontId="27" fillId="0" borderId="15" xfId="1" applyNumberFormat="1" applyFont="1" applyBorder="1" applyAlignment="1">
      <alignment horizontal="center"/>
    </xf>
    <xf numFmtId="2" fontId="5" fillId="0" borderId="35" xfId="0" applyNumberFormat="1" applyFont="1" applyBorder="1" applyAlignment="1">
      <alignment horizontal="center"/>
    </xf>
    <xf numFmtId="2" fontId="5" fillId="0" borderId="36" xfId="0" applyNumberFormat="1" applyFont="1" applyBorder="1" applyAlignment="1">
      <alignment horizontal="center"/>
    </xf>
    <xf numFmtId="2" fontId="5" fillId="0" borderId="39" xfId="0" applyNumberFormat="1" applyFont="1" applyBorder="1" applyAlignment="1" applyProtection="1">
      <alignment horizontal="center"/>
      <protection locked="0"/>
    </xf>
    <xf numFmtId="0" fontId="5" fillId="0" borderId="39" xfId="0" applyFont="1" applyBorder="1" applyAlignment="1">
      <alignment horizontal="center"/>
    </xf>
    <xf numFmtId="0" fontId="14" fillId="0" borderId="39" xfId="0" applyFont="1" applyBorder="1" applyAlignment="1">
      <alignment horizontal="center"/>
    </xf>
    <xf numFmtId="2" fontId="5" fillId="0" borderId="3" xfId="0" applyNumberFormat="1" applyFont="1" applyBorder="1" applyAlignment="1">
      <alignment horizontal="center"/>
    </xf>
    <xf numFmtId="2" fontId="5" fillId="0" borderId="5" xfId="0" applyNumberFormat="1" applyFont="1" applyBorder="1" applyAlignment="1">
      <alignment horizontal="center"/>
    </xf>
    <xf numFmtId="2" fontId="5" fillId="0" borderId="1" xfId="0" applyNumberFormat="1" applyFont="1" applyBorder="1" applyAlignment="1">
      <alignment horizontal="center"/>
    </xf>
    <xf numFmtId="0" fontId="4" fillId="0" borderId="34" xfId="0" applyFont="1" applyBorder="1" applyAlignment="1" applyProtection="1">
      <alignment horizontal="left"/>
      <protection locked="0"/>
    </xf>
    <xf numFmtId="0" fontId="4" fillId="0" borderId="33" xfId="0" applyFont="1" applyBorder="1" applyAlignment="1" applyProtection="1">
      <alignment horizontal="left"/>
      <protection locked="0"/>
    </xf>
    <xf numFmtId="2" fontId="5" fillId="0" borderId="31" xfId="0" applyNumberFormat="1" applyFont="1" applyBorder="1" applyAlignment="1">
      <alignment horizontal="center" vertical="top" shrinkToFit="1"/>
    </xf>
    <xf numFmtId="2" fontId="5" fillId="0" borderId="29" xfId="0" applyNumberFormat="1" applyFont="1" applyBorder="1" applyAlignment="1">
      <alignment horizontal="center" vertical="top" shrinkToFit="1"/>
    </xf>
    <xf numFmtId="0" fontId="2" fillId="0" borderId="40" xfId="0" applyFont="1" applyBorder="1"/>
    <xf numFmtId="0" fontId="6" fillId="0" borderId="0" xfId="0" applyFont="1" applyAlignment="1" applyProtection="1">
      <alignment horizontal="center"/>
      <protection locked="0"/>
    </xf>
    <xf numFmtId="0" fontId="6" fillId="0" borderId="0" xfId="0" applyFont="1" applyProtection="1">
      <protection locked="0"/>
    </xf>
    <xf numFmtId="166" fontId="6" fillId="3" borderId="18" xfId="5" applyNumberFormat="1" applyFont="1" applyFill="1" applyBorder="1" applyAlignment="1" applyProtection="1">
      <protection locked="0"/>
    </xf>
    <xf numFmtId="0" fontId="17" fillId="0" borderId="0" xfId="1" applyFont="1" applyAlignment="1">
      <alignment horizontal="left" vertical="top"/>
    </xf>
    <xf numFmtId="2" fontId="0" fillId="2" borderId="12" xfId="0" applyNumberFormat="1" applyFill="1" applyBorder="1" applyAlignment="1">
      <alignment horizontal="center" vertical="center"/>
    </xf>
    <xf numFmtId="1" fontId="5" fillId="0" borderId="3" xfId="0" applyNumberFormat="1" applyFont="1" applyBorder="1" applyAlignment="1" applyProtection="1">
      <alignment horizontal="center"/>
      <protection locked="0"/>
    </xf>
    <xf numFmtId="1" fontId="5" fillId="0" borderId="1" xfId="0" applyNumberFormat="1" applyFont="1" applyBorder="1" applyAlignment="1" applyProtection="1">
      <alignment horizontal="center"/>
      <protection locked="0"/>
    </xf>
    <xf numFmtId="1" fontId="5" fillId="0" borderId="5" xfId="0" applyNumberFormat="1" applyFont="1" applyBorder="1" applyAlignment="1" applyProtection="1">
      <alignment horizontal="center"/>
      <protection locked="0"/>
    </xf>
    <xf numFmtId="0" fontId="36" fillId="0" borderId="40" xfId="0" applyFont="1" applyBorder="1"/>
    <xf numFmtId="0" fontId="36" fillId="0" borderId="41" xfId="0" applyFont="1" applyBorder="1"/>
    <xf numFmtId="0" fontId="17" fillId="3" borderId="12" xfId="1" applyFont="1" applyFill="1" applyBorder="1" applyAlignment="1" applyProtection="1">
      <alignment horizontal="center" vertical="center"/>
      <protection locked="0"/>
    </xf>
    <xf numFmtId="0" fontId="15" fillId="0" borderId="0" xfId="0" applyFont="1" applyAlignment="1">
      <alignment horizontal="left"/>
    </xf>
    <xf numFmtId="0" fontId="40" fillId="0" borderId="0" xfId="0" applyFont="1"/>
    <xf numFmtId="0" fontId="40" fillId="0" borderId="42" xfId="0" applyFont="1" applyBorder="1"/>
    <xf numFmtId="0" fontId="41" fillId="0" borderId="0" xfId="0" applyFont="1" applyAlignment="1">
      <alignment vertical="center"/>
    </xf>
    <xf numFmtId="0" fontId="40" fillId="0" borderId="27" xfId="0" applyFont="1" applyBorder="1"/>
    <xf numFmtId="0" fontId="40" fillId="0" borderId="19" xfId="0" applyFont="1" applyBorder="1"/>
    <xf numFmtId="0" fontId="40" fillId="0" borderId="17" xfId="0" applyFont="1" applyBorder="1"/>
    <xf numFmtId="0" fontId="40" fillId="0" borderId="20" xfId="0" applyFont="1" applyBorder="1"/>
    <xf numFmtId="0" fontId="42" fillId="0" borderId="8" xfId="0" applyFont="1" applyBorder="1"/>
    <xf numFmtId="0" fontId="43" fillId="0" borderId="6" xfId="0" applyFont="1" applyBorder="1" applyAlignment="1">
      <alignment horizontal="right" vertical="center"/>
    </xf>
    <xf numFmtId="0" fontId="43" fillId="0" borderId="6" xfId="0" applyFont="1" applyBorder="1" applyAlignment="1">
      <alignment vertical="center"/>
    </xf>
    <xf numFmtId="0" fontId="42" fillId="0" borderId="6" xfId="0" applyFont="1" applyBorder="1"/>
    <xf numFmtId="0" fontId="42" fillId="0" borderId="6" xfId="0" applyFont="1" applyBorder="1" applyAlignment="1">
      <alignment horizontal="right"/>
    </xf>
    <xf numFmtId="0" fontId="42" fillId="0" borderId="7" xfId="0" applyFont="1" applyBorder="1"/>
    <xf numFmtId="0" fontId="42" fillId="0" borderId="0" xfId="0" applyFont="1"/>
    <xf numFmtId="0" fontId="4" fillId="0" borderId="6" xfId="0" applyFont="1" applyBorder="1" applyAlignment="1" applyProtection="1">
      <alignment horizontal="left"/>
      <protection locked="0"/>
    </xf>
    <xf numFmtId="49" fontId="5" fillId="0" borderId="6" xfId="0" applyNumberFormat="1" applyFont="1" applyBorder="1" applyAlignment="1" applyProtection="1">
      <alignment horizontal="center"/>
      <protection locked="0"/>
    </xf>
    <xf numFmtId="0" fontId="5" fillId="0" borderId="6" xfId="0" applyFont="1" applyBorder="1" applyAlignment="1" applyProtection="1">
      <alignment horizontal="center"/>
      <protection locked="0"/>
    </xf>
    <xf numFmtId="2" fontId="5" fillId="0" borderId="6" xfId="0" applyNumberFormat="1" applyFont="1" applyBorder="1" applyAlignment="1">
      <alignment horizontal="center"/>
    </xf>
    <xf numFmtId="1" fontId="5" fillId="0" borderId="6" xfId="0" applyNumberFormat="1" applyFont="1" applyBorder="1" applyAlignment="1" applyProtection="1">
      <alignment horizontal="center"/>
      <protection locked="0"/>
    </xf>
    <xf numFmtId="2" fontId="5" fillId="0" borderId="6" xfId="0" applyNumberFormat="1" applyFont="1" applyBorder="1" applyAlignment="1" applyProtection="1">
      <alignment horizontal="center"/>
      <protection locked="0"/>
    </xf>
    <xf numFmtId="2" fontId="14" fillId="0" borderId="6" xfId="0" applyNumberFormat="1" applyFont="1" applyBorder="1" applyAlignment="1" applyProtection="1">
      <alignment horizontal="center"/>
      <protection locked="0"/>
    </xf>
    <xf numFmtId="2" fontId="14" fillId="0" borderId="6" xfId="0" applyNumberFormat="1"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5" fillId="0" borderId="43" xfId="0" applyFont="1" applyBorder="1" applyAlignment="1">
      <alignment horizontal="center"/>
    </xf>
    <xf numFmtId="0" fontId="6" fillId="5" borderId="13" xfId="0" applyFont="1" applyFill="1" applyBorder="1" applyAlignment="1">
      <alignment horizontal="center" vertical="center"/>
    </xf>
    <xf numFmtId="0" fontId="44" fillId="5" borderId="14" xfId="0" applyFont="1" applyFill="1" applyBorder="1" applyAlignment="1">
      <alignment horizontal="center" shrinkToFit="1"/>
    </xf>
    <xf numFmtId="2" fontId="5" fillId="5" borderId="13" xfId="0" applyNumberFormat="1" applyFont="1" applyFill="1" applyBorder="1" applyAlignment="1">
      <alignment horizontal="center"/>
    </xf>
    <xf numFmtId="2" fontId="5" fillId="5" borderId="9" xfId="0" applyNumberFormat="1" applyFont="1" applyFill="1" applyBorder="1" applyAlignment="1">
      <alignment horizontal="center"/>
    </xf>
    <xf numFmtId="2" fontId="5" fillId="5" borderId="11" xfId="0" applyNumberFormat="1" applyFont="1" applyFill="1" applyBorder="1" applyAlignment="1">
      <alignment horizontal="center"/>
    </xf>
    <xf numFmtId="0" fontId="5" fillId="5" borderId="3" xfId="0" applyFont="1" applyFill="1" applyBorder="1" applyAlignment="1">
      <alignment horizontal="center"/>
    </xf>
    <xf numFmtId="0" fontId="5" fillId="5" borderId="1" xfId="0" applyFont="1" applyFill="1" applyBorder="1" applyAlignment="1">
      <alignment horizontal="center"/>
    </xf>
    <xf numFmtId="2" fontId="5" fillId="5" borderId="21" xfId="0" applyNumberFormat="1" applyFont="1" applyFill="1" applyBorder="1" applyAlignment="1">
      <alignment horizontal="center"/>
    </xf>
    <xf numFmtId="2" fontId="5" fillId="5" borderId="30" xfId="0" applyNumberFormat="1" applyFont="1" applyFill="1" applyBorder="1" applyAlignment="1">
      <alignment horizontal="center"/>
    </xf>
    <xf numFmtId="2" fontId="5" fillId="5" borderId="18" xfId="0" applyNumberFormat="1" applyFont="1" applyFill="1" applyBorder="1" applyAlignment="1">
      <alignment horizontal="center"/>
    </xf>
    <xf numFmtId="0" fontId="4" fillId="0" borderId="44" xfId="0" applyFont="1" applyBorder="1" applyAlignment="1">
      <alignment horizontal="left"/>
    </xf>
    <xf numFmtId="2" fontId="5" fillId="0" borderId="15" xfId="0" applyNumberFormat="1" applyFont="1" applyBorder="1" applyAlignment="1" applyProtection="1">
      <alignment horizontal="center"/>
      <protection locked="0"/>
    </xf>
    <xf numFmtId="0" fontId="14" fillId="0" borderId="10" xfId="0" applyFont="1" applyBorder="1" applyAlignment="1">
      <alignment horizontal="center"/>
    </xf>
    <xf numFmtId="2" fontId="5" fillId="5" borderId="1" xfId="0" applyNumberFormat="1" applyFont="1" applyFill="1" applyBorder="1" applyAlignment="1">
      <alignment horizontal="center"/>
    </xf>
    <xf numFmtId="2" fontId="5" fillId="0" borderId="43" xfId="0" applyNumberFormat="1" applyFont="1" applyBorder="1" applyAlignment="1">
      <alignment horizontal="center"/>
    </xf>
    <xf numFmtId="2" fontId="5" fillId="0" borderId="37" xfId="0" applyNumberFormat="1" applyFont="1" applyBorder="1" applyAlignment="1">
      <alignment horizontal="center"/>
    </xf>
    <xf numFmtId="0" fontId="36" fillId="0" borderId="0" xfId="0" applyFont="1"/>
    <xf numFmtId="49" fontId="5" fillId="0" borderId="9" xfId="0" applyNumberFormat="1" applyFont="1" applyBorder="1" applyAlignment="1" applyProtection="1">
      <alignment horizontal="center"/>
      <protection locked="0"/>
    </xf>
    <xf numFmtId="49" fontId="5" fillId="0" borderId="14" xfId="0" applyNumberFormat="1" applyFont="1" applyBorder="1" applyAlignment="1" applyProtection="1">
      <alignment horizontal="center"/>
      <protection locked="0"/>
    </xf>
    <xf numFmtId="49" fontId="5" fillId="0" borderId="11" xfId="0" applyNumberFormat="1" applyFont="1" applyBorder="1" applyAlignment="1" applyProtection="1">
      <alignment horizontal="center"/>
      <protection locked="0"/>
    </xf>
    <xf numFmtId="49" fontId="5" fillId="0" borderId="43" xfId="0" applyNumberFormat="1" applyFont="1" applyBorder="1" applyAlignment="1" applyProtection="1">
      <alignment horizontal="center"/>
      <protection locked="0"/>
    </xf>
    <xf numFmtId="49" fontId="5" fillId="0" borderId="46" xfId="0" applyNumberFormat="1" applyFont="1" applyBorder="1" applyAlignment="1" applyProtection="1">
      <alignment horizontal="center"/>
      <protection locked="0"/>
    </xf>
    <xf numFmtId="0" fontId="6" fillId="0" borderId="26" xfId="0" applyFont="1" applyBorder="1" applyAlignment="1">
      <alignment horizontal="center" vertical="center"/>
    </xf>
    <xf numFmtId="0" fontId="27" fillId="0" borderId="25" xfId="1" applyFont="1" applyBorder="1" applyAlignment="1">
      <alignment horizontal="center"/>
    </xf>
    <xf numFmtId="0" fontId="27" fillId="0" borderId="27" xfId="1" applyFont="1" applyBorder="1" applyAlignment="1">
      <alignment horizontal="center"/>
    </xf>
    <xf numFmtId="0" fontId="5" fillId="0" borderId="2" xfId="0" applyFont="1" applyBorder="1" applyAlignment="1" applyProtection="1">
      <alignment horizontal="center"/>
      <protection locked="0"/>
    </xf>
    <xf numFmtId="1" fontId="5" fillId="0" borderId="21" xfId="0" applyNumberFormat="1" applyFont="1" applyBorder="1" applyAlignment="1" applyProtection="1">
      <alignment horizontal="center"/>
      <protection locked="0"/>
    </xf>
    <xf numFmtId="0" fontId="5" fillId="0" borderId="25" xfId="0" applyFont="1" applyBorder="1" applyAlignment="1" applyProtection="1">
      <alignment horizontal="center"/>
      <protection locked="0"/>
    </xf>
    <xf numFmtId="1" fontId="5" fillId="0" borderId="16" xfId="0" applyNumberFormat="1" applyFont="1" applyBorder="1" applyAlignment="1" applyProtection="1">
      <alignment horizontal="center"/>
      <protection locked="0"/>
    </xf>
    <xf numFmtId="0" fontId="5" fillId="0" borderId="4" xfId="0" applyFont="1" applyBorder="1" applyAlignment="1" applyProtection="1">
      <alignment horizontal="center"/>
      <protection locked="0"/>
    </xf>
    <xf numFmtId="1" fontId="5" fillId="0" borderId="18" xfId="0" applyNumberFormat="1" applyFont="1" applyBorder="1" applyAlignment="1" applyProtection="1">
      <alignment horizontal="center"/>
      <protection locked="0"/>
    </xf>
    <xf numFmtId="0" fontId="5" fillId="0" borderId="48" xfId="0" applyFont="1" applyBorder="1" applyAlignment="1" applyProtection="1">
      <alignment horizontal="center"/>
      <protection locked="0"/>
    </xf>
    <xf numFmtId="1" fontId="5" fillId="0" borderId="30" xfId="0" applyNumberFormat="1" applyFont="1" applyBorder="1" applyAlignment="1" applyProtection="1">
      <alignment horizontal="center"/>
      <protection locked="0"/>
    </xf>
    <xf numFmtId="0" fontId="5" fillId="0" borderId="51" xfId="0" applyFont="1" applyBorder="1" applyAlignment="1" applyProtection="1">
      <alignment horizontal="center"/>
      <protection locked="0"/>
    </xf>
    <xf numFmtId="1" fontId="5" fillId="0" borderId="52" xfId="0" applyNumberFormat="1" applyFont="1" applyBorder="1" applyAlignment="1" applyProtection="1">
      <alignment horizontal="center"/>
      <protection locked="0"/>
    </xf>
    <xf numFmtId="0" fontId="5" fillId="0" borderId="45" xfId="0" applyFont="1" applyBorder="1" applyAlignment="1">
      <alignment horizontal="center"/>
    </xf>
    <xf numFmtId="0" fontId="5" fillId="0" borderId="34" xfId="0" applyFont="1" applyBorder="1" applyAlignment="1">
      <alignment horizontal="center"/>
    </xf>
    <xf numFmtId="0" fontId="5" fillId="0" borderId="33" xfId="0" applyFont="1" applyBorder="1" applyAlignment="1">
      <alignment horizontal="center"/>
    </xf>
    <xf numFmtId="0" fontId="5" fillId="0" borderId="32" xfId="0" applyFont="1" applyBorder="1" applyAlignment="1">
      <alignment horizontal="center"/>
    </xf>
    <xf numFmtId="0" fontId="6" fillId="0" borderId="53" xfId="0" applyFont="1" applyBorder="1" applyAlignment="1">
      <alignment horizontal="center" vertical="center"/>
    </xf>
    <xf numFmtId="0" fontId="27" fillId="0" borderId="16" xfId="1" applyFont="1" applyBorder="1" applyAlignment="1">
      <alignment horizontal="center"/>
    </xf>
    <xf numFmtId="0" fontId="5" fillId="0" borderId="53" xfId="0" applyFont="1" applyBorder="1" applyAlignment="1">
      <alignment horizontal="center"/>
    </xf>
    <xf numFmtId="2" fontId="5" fillId="0" borderId="2" xfId="0" applyNumberFormat="1" applyFont="1" applyBorder="1" applyAlignment="1" applyProtection="1">
      <alignment horizontal="center"/>
      <protection locked="0"/>
    </xf>
    <xf numFmtId="2" fontId="5" fillId="0" borderId="25" xfId="0" applyNumberFormat="1" applyFont="1" applyBorder="1" applyAlignment="1" applyProtection="1">
      <alignment horizontal="center"/>
      <protection locked="0"/>
    </xf>
    <xf numFmtId="0" fontId="5" fillId="0" borderId="30" xfId="0" applyFont="1" applyBorder="1" applyAlignment="1">
      <alignment horizontal="center"/>
    </xf>
    <xf numFmtId="2" fontId="5" fillId="0" borderId="4" xfId="0" applyNumberFormat="1" applyFont="1" applyBorder="1" applyAlignment="1" applyProtection="1">
      <alignment horizontal="center"/>
      <protection locked="0"/>
    </xf>
    <xf numFmtId="0" fontId="5" fillId="0" borderId="18" xfId="0" applyFont="1" applyBorder="1" applyAlignment="1">
      <alignment horizontal="center"/>
    </xf>
    <xf numFmtId="0" fontId="5" fillId="0" borderId="21" xfId="0" applyFont="1" applyBorder="1" applyAlignment="1">
      <alignment horizontal="center"/>
    </xf>
    <xf numFmtId="2" fontId="5" fillId="0" borderId="48" xfId="0" applyNumberFormat="1" applyFont="1" applyBorder="1" applyAlignment="1" applyProtection="1">
      <alignment horizontal="center"/>
      <protection locked="0"/>
    </xf>
    <xf numFmtId="2" fontId="5" fillId="0" borderId="51" xfId="0" applyNumberFormat="1" applyFont="1" applyBorder="1" applyAlignment="1" applyProtection="1">
      <alignment horizontal="center"/>
      <protection locked="0"/>
    </xf>
    <xf numFmtId="0" fontId="4" fillId="0" borderId="2" xfId="0" applyFont="1" applyBorder="1" applyAlignment="1">
      <alignment horizontal="left"/>
    </xf>
    <xf numFmtId="0" fontId="14" fillId="0" borderId="54" xfId="0" applyFont="1" applyBorder="1" applyAlignment="1">
      <alignment horizontal="center"/>
    </xf>
    <xf numFmtId="0" fontId="4" fillId="0" borderId="4" xfId="0" applyFont="1" applyBorder="1" applyAlignment="1">
      <alignment horizontal="left"/>
    </xf>
    <xf numFmtId="0" fontId="14" fillId="0" borderId="55" xfId="0" applyFont="1" applyBorder="1" applyAlignment="1">
      <alignment horizontal="center"/>
    </xf>
    <xf numFmtId="0" fontId="14" fillId="0" borderId="2" xfId="0" applyFont="1" applyBorder="1" applyAlignment="1">
      <alignment horizontal="center"/>
    </xf>
    <xf numFmtId="0" fontId="14" fillId="0" borderId="4" xfId="0" applyFont="1" applyBorder="1" applyAlignment="1">
      <alignment horizontal="center"/>
    </xf>
    <xf numFmtId="10" fontId="6" fillId="3" borderId="0" xfId="0" applyNumberFormat="1" applyFont="1" applyFill="1" applyProtection="1">
      <protection locked="0"/>
    </xf>
    <xf numFmtId="166" fontId="6" fillId="3" borderId="0" xfId="5" applyNumberFormat="1" applyFont="1" applyFill="1" applyBorder="1" applyAlignment="1" applyProtection="1">
      <protection locked="0"/>
    </xf>
    <xf numFmtId="0" fontId="4" fillId="0" borderId="0" xfId="0" applyFont="1" applyAlignment="1">
      <alignment horizontal="center" vertical="center"/>
    </xf>
    <xf numFmtId="0" fontId="6" fillId="0" borderId="0" xfId="0" applyFont="1" applyAlignment="1">
      <alignment horizontal="center" vertical="center"/>
    </xf>
    <xf numFmtId="0" fontId="29" fillId="0" borderId="0" xfId="1" applyFont="1" applyAlignment="1">
      <alignment horizontal="center"/>
    </xf>
    <xf numFmtId="2" fontId="5" fillId="0" borderId="0" xfId="0" applyNumberFormat="1" applyFont="1" applyAlignment="1">
      <alignment horizontal="center"/>
    </xf>
    <xf numFmtId="2" fontId="5" fillId="0" borderId="0" xfId="0" applyNumberFormat="1" applyFont="1" applyAlignment="1">
      <alignment horizontal="center" vertical="top" shrinkToFit="1"/>
    </xf>
    <xf numFmtId="2" fontId="33" fillId="0" borderId="0" xfId="0" applyNumberFormat="1" applyFont="1" applyAlignment="1">
      <alignment horizontal="center" vertical="top" wrapText="1"/>
    </xf>
    <xf numFmtId="2" fontId="5" fillId="0" borderId="0" xfId="0" applyNumberFormat="1" applyFont="1" applyAlignment="1">
      <alignment horizontal="center" vertical="top"/>
    </xf>
    <xf numFmtId="1" fontId="5" fillId="3" borderId="21" xfId="0" applyNumberFormat="1" applyFont="1" applyFill="1" applyBorder="1" applyAlignment="1" applyProtection="1">
      <alignment horizontal="center"/>
      <protection locked="0"/>
    </xf>
    <xf numFmtId="1" fontId="5" fillId="3" borderId="18" xfId="0" applyNumberFormat="1" applyFont="1" applyFill="1" applyBorder="1" applyAlignment="1" applyProtection="1">
      <alignment horizontal="center"/>
      <protection locked="0"/>
    </xf>
    <xf numFmtId="1" fontId="5" fillId="3" borderId="47" xfId="0" applyNumberFormat="1" applyFont="1" applyFill="1" applyBorder="1" applyAlignment="1" applyProtection="1">
      <alignment horizontal="center"/>
      <protection locked="0"/>
    </xf>
    <xf numFmtId="1" fontId="5" fillId="3" borderId="49" xfId="0" applyNumberFormat="1" applyFont="1" applyFill="1" applyBorder="1" applyAlignment="1" applyProtection="1">
      <alignment horizontal="center"/>
      <protection locked="0"/>
    </xf>
    <xf numFmtId="1" fontId="5" fillId="3" borderId="50" xfId="0" applyNumberFormat="1" applyFont="1" applyFill="1" applyBorder="1" applyAlignment="1" applyProtection="1">
      <alignment horizontal="center"/>
      <protection locked="0"/>
    </xf>
    <xf numFmtId="165" fontId="5" fillId="0" borderId="1" xfId="0" applyNumberFormat="1" applyFont="1" applyBorder="1" applyAlignment="1">
      <alignment horizontal="center"/>
    </xf>
    <xf numFmtId="165" fontId="5" fillId="0" borderId="3" xfId="0" applyNumberFormat="1" applyFont="1" applyBorder="1" applyAlignment="1">
      <alignment horizontal="center"/>
    </xf>
    <xf numFmtId="165" fontId="5" fillId="0" borderId="5" xfId="0" applyNumberFormat="1" applyFont="1" applyBorder="1" applyAlignment="1">
      <alignment horizontal="center"/>
    </xf>
    <xf numFmtId="165" fontId="5" fillId="0" borderId="10" xfId="0" applyNumberFormat="1" applyFont="1" applyBorder="1" applyAlignment="1">
      <alignment horizontal="center"/>
    </xf>
    <xf numFmtId="165" fontId="5" fillId="0" borderId="39" xfId="0" applyNumberFormat="1" applyFont="1" applyBorder="1" applyAlignment="1">
      <alignment horizontal="center"/>
    </xf>
    <xf numFmtId="0" fontId="36" fillId="0" borderId="0" xfId="0" applyFont="1" applyAlignment="1">
      <alignment shrinkToFit="1"/>
    </xf>
    <xf numFmtId="0" fontId="0" fillId="0" borderId="0" xfId="0" applyAlignment="1">
      <alignment shrinkToFi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3" fillId="0" borderId="35" xfId="0" applyFont="1" applyBorder="1" applyAlignment="1">
      <alignment horizontal="center" vertical="center" textRotation="90"/>
    </xf>
    <xf numFmtId="0" fontId="3" fillId="0" borderId="37" xfId="0" applyFont="1" applyBorder="1" applyAlignment="1">
      <alignment horizontal="center" vertical="center" textRotation="90"/>
    </xf>
    <xf numFmtId="0" fontId="3" fillId="0" borderId="38" xfId="0" applyFont="1" applyBorder="1" applyAlignment="1">
      <alignment horizontal="center" vertical="center" textRotation="90"/>
    </xf>
    <xf numFmtId="0" fontId="3" fillId="0" borderId="36" xfId="0" applyFont="1" applyBorder="1" applyAlignment="1">
      <alignment horizontal="center" vertical="center" textRotation="90"/>
    </xf>
    <xf numFmtId="0" fontId="3" fillId="0" borderId="31" xfId="0" applyFont="1" applyBorder="1" applyAlignment="1">
      <alignment horizontal="center" vertical="center" textRotation="90"/>
    </xf>
    <xf numFmtId="0" fontId="16" fillId="0" borderId="26" xfId="0" applyFont="1" applyBorder="1" applyAlignment="1">
      <alignment horizontal="center" vertical="center"/>
    </xf>
    <xf numFmtId="0" fontId="16" fillId="0" borderId="25" xfId="0" applyFont="1" applyBorder="1" applyAlignment="1">
      <alignment horizontal="center" vertical="center"/>
    </xf>
    <xf numFmtId="2" fontId="33" fillId="0" borderId="31" xfId="0" applyNumberFormat="1" applyFont="1" applyBorder="1" applyAlignment="1">
      <alignment horizontal="center" vertical="top" wrapText="1"/>
    </xf>
    <xf numFmtId="2" fontId="34" fillId="0" borderId="29" xfId="0" applyNumberFormat="1" applyFont="1" applyBorder="1" applyAlignment="1">
      <alignment horizontal="center" vertical="top"/>
    </xf>
    <xf numFmtId="0" fontId="20" fillId="0" borderId="0" xfId="0" applyFont="1" applyAlignment="1">
      <alignment vertical="center" shrinkToFit="1"/>
    </xf>
    <xf numFmtId="0" fontId="20" fillId="0" borderId="0" xfId="0" applyFont="1" applyAlignment="1">
      <alignment horizontal="left" vertical="center" shrinkToFit="1"/>
    </xf>
    <xf numFmtId="0" fontId="20" fillId="0" borderId="0" xfId="0" applyFont="1" applyAlignment="1">
      <alignment vertical="center" wrapText="1"/>
    </xf>
    <xf numFmtId="0" fontId="0" fillId="0" borderId="0" xfId="0" applyAlignment="1">
      <alignment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Percent" xfId="5" builtinId="5"/>
  </cellStyles>
  <dxfs count="34">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175260</xdr:colOff>
      <xdr:row>60</xdr:row>
      <xdr:rowOff>80010</xdr:rowOff>
    </xdr:from>
    <xdr:ext cx="7026346" cy="58105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8CAC5878-0401-2DE3-46B8-429CF8330336}"/>
                </a:ext>
              </a:extLst>
            </xdr:cNvPr>
            <xdr:cNvSpPr txBox="1"/>
          </xdr:nvSpPr>
          <xdr:spPr>
            <a:xfrm>
              <a:off x="175260" y="10709910"/>
              <a:ext cx="7026346" cy="581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kern="1200">
                            <a:latin typeface="Cambria Math" panose="02040503050406030204" pitchFamily="18" charset="0"/>
                          </a:rPr>
                        </m:ctrlPr>
                      </m:sSubPr>
                      <m:e>
                        <m:r>
                          <a:rPr lang="en-US" sz="1100" b="0" i="1" kern="1200">
                            <a:latin typeface="Cambria Math" panose="02040503050406030204" pitchFamily="18" charset="0"/>
                          </a:rPr>
                          <m:t>𝐵𝑂𝐷</m:t>
                        </m:r>
                      </m:e>
                      <m:sub>
                        <m:r>
                          <a:rPr lang="en-US" sz="1100" b="0" i="1" kern="1200">
                            <a:latin typeface="Cambria Math" panose="02040503050406030204" pitchFamily="18" charset="0"/>
                          </a:rPr>
                          <m:t>5</m:t>
                        </m:r>
                      </m:sub>
                    </m:sSub>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d>
                          <m:dPr>
                            <m:ctrlPr>
                              <a:rPr lang="en-US" sz="1100" b="0" i="1" kern="1200">
                                <a:latin typeface="Cambria Math" panose="02040503050406030204" pitchFamily="18" charset="0"/>
                              </a:rPr>
                            </m:ctrlPr>
                          </m:dPr>
                          <m:e>
                            <m:r>
                              <a:rPr lang="en-US" sz="1100" b="0" i="1" kern="1200">
                                <a:latin typeface="Cambria Math" panose="02040503050406030204" pitchFamily="18" charset="0"/>
                              </a:rPr>
                              <m:t>𝐼𝑛𝑖𝑡𝑖𝑎𝑙</m:t>
                            </m:r>
                            <m:r>
                              <a:rPr lang="en-US" sz="1100" b="0" i="1" kern="1200">
                                <a:latin typeface="Cambria Math" panose="02040503050406030204" pitchFamily="18" charset="0"/>
                              </a:rPr>
                              <m:t> </m:t>
                            </m:r>
                            <m:r>
                              <a:rPr lang="en-US" sz="1100" b="0" i="1" kern="1200">
                                <a:latin typeface="Cambria Math" panose="02040503050406030204" pitchFamily="18" charset="0"/>
                              </a:rPr>
                              <m:t>𝐷𝑂</m:t>
                            </m:r>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r>
                              <a:rPr lang="en-US" sz="1100" b="0" i="1" kern="1200">
                                <a:latin typeface="Cambria Math" panose="02040503050406030204" pitchFamily="18" charset="0"/>
                              </a:rPr>
                              <m:t>−</m:t>
                            </m:r>
                            <m:r>
                              <a:rPr lang="en-US" sz="1100" b="0" i="1" kern="1200">
                                <a:latin typeface="Cambria Math" panose="02040503050406030204" pitchFamily="18" charset="0"/>
                              </a:rPr>
                              <m:t>𝐹𝑖𝑛𝑎𝑙</m:t>
                            </m:r>
                            <m:r>
                              <a:rPr lang="en-US" sz="1100" b="0" i="1" kern="1200">
                                <a:latin typeface="Cambria Math" panose="02040503050406030204" pitchFamily="18" charset="0"/>
                              </a:rPr>
                              <m:t> </m:t>
                            </m:r>
                            <m:r>
                              <a:rPr lang="en-US" sz="1100" b="0" i="1" kern="1200">
                                <a:latin typeface="Cambria Math" panose="02040503050406030204" pitchFamily="18" charset="0"/>
                              </a:rPr>
                              <m:t>𝐷𝑂</m:t>
                            </m:r>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e>
                        </m:d>
                        <m:r>
                          <a:rPr lang="en-US" sz="1100" b="0" i="1" kern="1200">
                            <a:latin typeface="Cambria Math" panose="02040503050406030204" pitchFamily="18" charset="0"/>
                          </a:rPr>
                          <m:t>−</m:t>
                        </m:r>
                        <m:d>
                          <m:dPr>
                            <m:ctrlPr>
                              <a:rPr lang="en-US" sz="1100" b="0" i="1" kern="1200">
                                <a:latin typeface="Cambria Math" panose="02040503050406030204" pitchFamily="18" charset="0"/>
                              </a:rPr>
                            </m:ctrlPr>
                          </m:dPr>
                          <m:e>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r>
                              <a:rPr lang="en-US" sz="1100" b="0" i="1" kern="1200">
                                <a:latin typeface="Cambria Math" panose="02040503050406030204" pitchFamily="18" charset="0"/>
                              </a:rPr>
                              <m:t>𝐷𝑂</m:t>
                            </m:r>
                            <m:r>
                              <a:rPr lang="en-US" sz="1100" b="0" i="1" kern="1200">
                                <a:latin typeface="Cambria Math" panose="02040503050406030204" pitchFamily="18" charset="0"/>
                              </a:rPr>
                              <m:t> </m:t>
                            </m:r>
                            <m:r>
                              <a:rPr lang="en-US" sz="1100" b="0" i="1" kern="1200">
                                <a:latin typeface="Cambria Math" panose="02040503050406030204" pitchFamily="18" charset="0"/>
                              </a:rPr>
                              <m:t>𝐶𝑜𝑛𝑠𝑢𝑚𝑒𝑑</m:t>
                            </m:r>
                            <m:r>
                              <a:rPr lang="en-US" sz="1100" b="0" i="1" kern="1200">
                                <a:latin typeface="Cambria Math" panose="02040503050406030204" pitchFamily="18" charset="0"/>
                              </a:rPr>
                              <m:t> </m:t>
                            </m:r>
                            <m:r>
                              <a:rPr lang="en-US" sz="1100" b="0" i="1" kern="1200">
                                <a:latin typeface="Cambria Math" panose="02040503050406030204" pitchFamily="18" charset="0"/>
                              </a:rPr>
                              <m:t>𝑝𝑒𝑟</m:t>
                            </m:r>
                            <m:r>
                              <a:rPr lang="en-US" sz="1100" b="0" i="1" kern="1200">
                                <a:latin typeface="Cambria Math" panose="02040503050406030204" pitchFamily="18" charset="0"/>
                              </a:rPr>
                              <m:t> </m:t>
                            </m:r>
                            <m:r>
                              <a:rPr lang="en-US" sz="1100" b="0" i="1" kern="1200">
                                <a:latin typeface="Cambria Math" panose="02040503050406030204" pitchFamily="18" charset="0"/>
                              </a:rPr>
                              <m:t>𝑚𝐿</m:t>
                            </m:r>
                            <m:r>
                              <a:rPr lang="en-US" sz="1100" b="0" i="1" kern="1200">
                                <a:latin typeface="Cambria Math" panose="02040503050406030204" pitchFamily="18" charset="0"/>
                              </a:rPr>
                              <m:t> </m:t>
                            </m:r>
                            <m:r>
                              <a:rPr lang="en-US" sz="1100" b="0" i="1" kern="1200">
                                <a:latin typeface="Cambria Math" panose="02040503050406030204" pitchFamily="18" charset="0"/>
                              </a:rPr>
                              <m:t>𝑜𝑓</m:t>
                            </m:r>
                            <m:r>
                              <a:rPr lang="en-US" sz="1100" b="0" i="1" kern="1200">
                                <a:latin typeface="Cambria Math" panose="02040503050406030204" pitchFamily="18" charset="0"/>
                              </a:rPr>
                              <m:t> </m:t>
                            </m:r>
                            <m:r>
                              <a:rPr lang="en-US" sz="1100" b="0" i="1" kern="1200">
                                <a:latin typeface="Cambria Math" panose="02040503050406030204" pitchFamily="18" charset="0"/>
                              </a:rPr>
                              <m:t>𝑆𝑒𝑒𝑑</m:t>
                            </m:r>
                            <m:r>
                              <a:rPr lang="en-US" sz="1100" b="0" i="1" kern="1200">
                                <a:latin typeface="Cambria Math" panose="02040503050406030204" pitchFamily="18" charset="0"/>
                              </a:rPr>
                              <m:t> </m:t>
                            </m:r>
                            <m:r>
                              <a:rPr lang="en-US" sz="1100" b="0" i="1" kern="1200">
                                <a:latin typeface="Cambria Math" panose="02040503050406030204" pitchFamily="18" charset="0"/>
                              </a:rPr>
                              <m:t>𝐴𝑑𝑑𝑒𝑑</m:t>
                            </m:r>
                            <m:r>
                              <a:rPr lang="en-US" sz="1100" b="0" i="1" kern="1200">
                                <a:latin typeface="Cambria Math" panose="02040503050406030204" pitchFamily="18" charset="0"/>
                                <a:ea typeface="Cambria Math" panose="02040503050406030204" pitchFamily="18" charset="0"/>
                              </a:rPr>
                              <m:t>×</m:t>
                            </m:r>
                            <m:r>
                              <a:rPr lang="en-US" sz="1100" b="0" i="1" kern="1200">
                                <a:latin typeface="Cambria Math" panose="02040503050406030204" pitchFamily="18" charset="0"/>
                                <a:ea typeface="Cambria Math" panose="02040503050406030204" pitchFamily="18" charset="0"/>
                              </a:rPr>
                              <m:t>𝑚𝐿</m:t>
                            </m:r>
                            <m:r>
                              <a:rPr lang="en-US" sz="1100" b="0" i="1" kern="1200">
                                <a:latin typeface="Cambria Math" panose="02040503050406030204" pitchFamily="18" charset="0"/>
                                <a:ea typeface="Cambria Math" panose="02040503050406030204" pitchFamily="18" charset="0"/>
                              </a:rPr>
                              <m:t> </m:t>
                            </m:r>
                            <m:r>
                              <a:rPr lang="en-US" sz="1100" b="0" i="1" kern="1200">
                                <a:latin typeface="Cambria Math" panose="02040503050406030204" pitchFamily="18" charset="0"/>
                                <a:ea typeface="Cambria Math" panose="02040503050406030204" pitchFamily="18" charset="0"/>
                              </a:rPr>
                              <m:t>𝑜𝑓</m:t>
                            </m:r>
                            <m:r>
                              <a:rPr lang="en-US" sz="1100" b="0" i="1" kern="1200">
                                <a:latin typeface="Cambria Math" panose="02040503050406030204" pitchFamily="18" charset="0"/>
                                <a:ea typeface="Cambria Math" panose="02040503050406030204" pitchFamily="18" charset="0"/>
                              </a:rPr>
                              <m:t> </m:t>
                            </m:r>
                            <m:r>
                              <a:rPr lang="en-US" sz="1100" b="0" i="1" kern="1200">
                                <a:latin typeface="Cambria Math" panose="02040503050406030204" pitchFamily="18" charset="0"/>
                                <a:ea typeface="Cambria Math" panose="02040503050406030204" pitchFamily="18" charset="0"/>
                              </a:rPr>
                              <m:t>𝑆𝑒𝑒𝑑</m:t>
                            </m:r>
                            <m:r>
                              <a:rPr lang="en-US" sz="1100" b="0" i="1" kern="1200">
                                <a:latin typeface="Cambria Math" panose="02040503050406030204" pitchFamily="18" charset="0"/>
                                <a:ea typeface="Cambria Math" panose="02040503050406030204" pitchFamily="18" charset="0"/>
                              </a:rPr>
                              <m:t> </m:t>
                            </m:r>
                            <m:r>
                              <a:rPr lang="en-US" sz="1100" b="0" i="1" kern="1200">
                                <a:latin typeface="Cambria Math" panose="02040503050406030204" pitchFamily="18" charset="0"/>
                                <a:ea typeface="Cambria Math" panose="02040503050406030204" pitchFamily="18" charset="0"/>
                              </a:rPr>
                              <m:t>𝐴𝑑𝑑𝑒𝑑</m:t>
                            </m:r>
                          </m:e>
                        </m:d>
                      </m:num>
                      <m:den>
                        <m:d>
                          <m:dPr>
                            <m:ctrlPr>
                              <a:rPr lang="en-US" sz="1100" b="0" i="1" kern="1200">
                                <a:latin typeface="Cambria Math" panose="02040503050406030204" pitchFamily="18" charset="0"/>
                              </a:rPr>
                            </m:ctrlPr>
                          </m:dPr>
                          <m:e>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𝑚𝐿</m:t>
                                </m:r>
                                <m:r>
                                  <a:rPr lang="en-US" sz="1100" b="0" i="1" kern="1200">
                                    <a:latin typeface="Cambria Math" panose="02040503050406030204" pitchFamily="18" charset="0"/>
                                  </a:rPr>
                                  <m:t> </m:t>
                                </m:r>
                                <m:r>
                                  <a:rPr lang="en-US" sz="1100" b="0" i="1" kern="1200">
                                    <a:latin typeface="Cambria Math" panose="02040503050406030204" pitchFamily="18" charset="0"/>
                                  </a:rPr>
                                  <m:t>𝑜𝑓</m:t>
                                </m:r>
                                <m:r>
                                  <a:rPr lang="en-US" sz="1100" b="0" i="1" kern="1200">
                                    <a:latin typeface="Cambria Math" panose="02040503050406030204" pitchFamily="18" charset="0"/>
                                  </a:rPr>
                                  <m:t> </m:t>
                                </m:r>
                                <m:r>
                                  <a:rPr lang="en-US" sz="1100" b="0" i="1" kern="1200">
                                    <a:latin typeface="Cambria Math" panose="02040503050406030204" pitchFamily="18" charset="0"/>
                                  </a:rPr>
                                  <m:t>𝑆𝑎𝑚𝑝𝑙𝑒</m:t>
                                </m:r>
                                <m:r>
                                  <a:rPr lang="en-US" sz="1100" b="0" i="1" kern="1200">
                                    <a:latin typeface="Cambria Math" panose="02040503050406030204" pitchFamily="18" charset="0"/>
                                  </a:rPr>
                                  <m:t> </m:t>
                                </m:r>
                                <m:r>
                                  <a:rPr lang="en-US" sz="1100" b="0" i="1" kern="1200">
                                    <a:latin typeface="Cambria Math" panose="02040503050406030204" pitchFamily="18" charset="0"/>
                                  </a:rPr>
                                  <m:t>𝐴𝑑𝑑𝑒𝑑</m:t>
                                </m:r>
                              </m:num>
                              <m:den>
                                <m:r>
                                  <a:rPr lang="en-US" sz="1100" b="0" i="1" kern="1200">
                                    <a:latin typeface="Cambria Math" panose="02040503050406030204" pitchFamily="18" charset="0"/>
                                  </a:rPr>
                                  <m:t>𝐵𝑜𝑡𝑡𝑙𝑒</m:t>
                                </m:r>
                                <m:r>
                                  <a:rPr lang="en-US" sz="1100" b="0" i="1" kern="1200">
                                    <a:latin typeface="Cambria Math" panose="02040503050406030204" pitchFamily="18" charset="0"/>
                                  </a:rPr>
                                  <m:t> </m:t>
                                </m:r>
                                <m:r>
                                  <a:rPr lang="en-US" sz="1100" b="0" i="1" kern="1200">
                                    <a:latin typeface="Cambria Math" panose="02040503050406030204" pitchFamily="18" charset="0"/>
                                  </a:rPr>
                                  <m:t>𝑆𝑖𝑧𝑒</m:t>
                                </m:r>
                                <m:r>
                                  <a:rPr lang="en-US" sz="1100" b="0" i="1" kern="1200">
                                    <a:latin typeface="Cambria Math" panose="02040503050406030204" pitchFamily="18" charset="0"/>
                                  </a:rPr>
                                  <m:t>, </m:t>
                                </m:r>
                                <m:r>
                                  <a:rPr lang="en-US" sz="1100" b="0" i="1" kern="1200">
                                    <a:latin typeface="Cambria Math" panose="02040503050406030204" pitchFamily="18" charset="0"/>
                                  </a:rPr>
                                  <m:t>𝑚𝐿</m:t>
                                </m:r>
                              </m:den>
                            </m:f>
                          </m:e>
                        </m:d>
                      </m:den>
                    </m:f>
                  </m:oMath>
                </m:oMathPara>
              </a14:m>
              <a:endParaRPr lang="en-US" sz="1100" kern="1200"/>
            </a:p>
          </xdr:txBody>
        </xdr:sp>
      </mc:Choice>
      <mc:Fallback xmlns="">
        <xdr:sp macro="" textlink="">
          <xdr:nvSpPr>
            <xdr:cNvPr id="3" name="TextBox 2">
              <a:extLst>
                <a:ext uri="{FF2B5EF4-FFF2-40B4-BE49-F238E27FC236}">
                  <a16:creationId xmlns:a16="http://schemas.microsoft.com/office/drawing/2014/main" id="{8CAC5878-0401-2DE3-46B8-429CF8330336}"/>
                </a:ext>
              </a:extLst>
            </xdr:cNvPr>
            <xdr:cNvSpPr txBox="1"/>
          </xdr:nvSpPr>
          <xdr:spPr>
            <a:xfrm>
              <a:off x="175260" y="10709910"/>
              <a:ext cx="7026346" cy="581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kern="1200">
                  <a:latin typeface="Cambria Math" panose="02040503050406030204" pitchFamily="18" charset="0"/>
                </a:rPr>
                <a:t>〖</a:t>
              </a:r>
              <a:r>
                <a:rPr lang="en-US" sz="1100" b="0" i="0" kern="1200">
                  <a:latin typeface="Cambria Math" panose="02040503050406030204" pitchFamily="18" charset="0"/>
                </a:rPr>
                <a:t>𝐵𝑂𝐷〗_5,𝑚𝑔/𝐿=((𝐼𝑛𝑖𝑡𝑖𝑎𝑙 𝐷𝑂,𝑚𝑔/𝐿−𝐹𝑖𝑛𝑎𝑙 𝐷𝑂,𝑚𝑔/𝐿)−(𝑚𝑔/𝐿 𝐷𝑂 𝐶𝑜𝑛𝑠𝑢𝑚𝑒𝑑 𝑝𝑒𝑟 𝑚𝐿 𝑜𝑓 𝑆𝑒𝑒𝑑 𝐴𝑑𝑑𝑒𝑑</a:t>
              </a:r>
              <a:r>
                <a:rPr lang="en-US" sz="1100" b="0" i="0" kern="1200">
                  <a:latin typeface="Cambria Math" panose="02040503050406030204" pitchFamily="18" charset="0"/>
                  <a:ea typeface="Cambria Math" panose="02040503050406030204" pitchFamily="18" charset="0"/>
                </a:rPr>
                <a:t>×𝑚𝐿 𝑜𝑓 𝑆𝑒𝑒𝑑 𝐴𝑑𝑑𝑒𝑑))/(((</a:t>
              </a:r>
              <a:r>
                <a:rPr lang="en-US" sz="1100" b="0" i="0" kern="1200">
                  <a:latin typeface="Cambria Math" panose="02040503050406030204" pitchFamily="18" charset="0"/>
                </a:rPr>
                <a:t>𝑚𝐿 𝑜𝑓 𝑆𝑎𝑚𝑝𝑙𝑒 𝐴𝑑𝑑𝑒𝑑)/(𝐵𝑜𝑡𝑡𝑙𝑒 𝑆𝑖𝑧𝑒, 𝑚𝐿)) )</a:t>
              </a:r>
              <a:endParaRPr lang="en-US" sz="1100" kern="1200"/>
            </a:p>
          </xdr:txBody>
        </xdr:sp>
      </mc:Fallback>
    </mc:AlternateContent>
    <xdr:clientData/>
  </xdr:oneCellAnchor>
  <xdr:oneCellAnchor>
    <xdr:from>
      <xdr:col>0</xdr:col>
      <xdr:colOff>190500</xdr:colOff>
      <xdr:row>56</xdr:row>
      <xdr:rowOff>83820</xdr:rowOff>
    </xdr:from>
    <xdr:ext cx="2844881" cy="58105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545AFCA-9A68-413C-94AD-80AC6AAB38F3}"/>
                </a:ext>
              </a:extLst>
            </xdr:cNvPr>
            <xdr:cNvSpPr txBox="1"/>
          </xdr:nvSpPr>
          <xdr:spPr>
            <a:xfrm>
              <a:off x="190500" y="10012680"/>
              <a:ext cx="2844881" cy="581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kern="1200">
                            <a:latin typeface="Cambria Math" panose="02040503050406030204" pitchFamily="18" charset="0"/>
                          </a:rPr>
                        </m:ctrlPr>
                      </m:sSubPr>
                      <m:e>
                        <m:r>
                          <a:rPr lang="en-US" sz="1100" b="0" i="1" kern="1200">
                            <a:latin typeface="Cambria Math" panose="02040503050406030204" pitchFamily="18" charset="0"/>
                          </a:rPr>
                          <m:t>𝐵𝑂𝐷</m:t>
                        </m:r>
                      </m:e>
                      <m:sub>
                        <m:r>
                          <a:rPr lang="en-US" sz="1100" b="0" i="1" kern="1200">
                            <a:latin typeface="Cambria Math" panose="02040503050406030204" pitchFamily="18" charset="0"/>
                          </a:rPr>
                          <m:t>5</m:t>
                        </m:r>
                      </m:sub>
                    </m:sSub>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d>
                          <m:dPr>
                            <m:ctrlPr>
                              <a:rPr lang="en-US" sz="1100" b="0" i="1" kern="1200">
                                <a:latin typeface="Cambria Math" panose="02040503050406030204" pitchFamily="18" charset="0"/>
                              </a:rPr>
                            </m:ctrlPr>
                          </m:dPr>
                          <m:e>
                            <m:r>
                              <a:rPr lang="en-US" sz="1100" b="0" i="1" kern="1200">
                                <a:latin typeface="Cambria Math" panose="02040503050406030204" pitchFamily="18" charset="0"/>
                              </a:rPr>
                              <m:t>𝐼𝑛𝑖𝑡𝑖𝑎𝑙</m:t>
                            </m:r>
                            <m:r>
                              <a:rPr lang="en-US" sz="1100" b="0" i="1" kern="1200">
                                <a:latin typeface="Cambria Math" panose="02040503050406030204" pitchFamily="18" charset="0"/>
                              </a:rPr>
                              <m:t> </m:t>
                            </m:r>
                            <m:r>
                              <a:rPr lang="en-US" sz="1100" b="0" i="1" kern="1200">
                                <a:latin typeface="Cambria Math" panose="02040503050406030204" pitchFamily="18" charset="0"/>
                              </a:rPr>
                              <m:t>𝐷𝑂</m:t>
                            </m:r>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r>
                              <a:rPr lang="en-US" sz="1100" b="0" i="1" kern="1200">
                                <a:latin typeface="Cambria Math" panose="02040503050406030204" pitchFamily="18" charset="0"/>
                              </a:rPr>
                              <m:t>−</m:t>
                            </m:r>
                            <m:r>
                              <a:rPr lang="en-US" sz="1100" b="0" i="1" kern="1200">
                                <a:latin typeface="Cambria Math" panose="02040503050406030204" pitchFamily="18" charset="0"/>
                              </a:rPr>
                              <m:t>𝐹𝑖𝑛𝑎𝑙</m:t>
                            </m:r>
                            <m:r>
                              <a:rPr lang="en-US" sz="1100" b="0" i="1" kern="1200">
                                <a:latin typeface="Cambria Math" panose="02040503050406030204" pitchFamily="18" charset="0"/>
                              </a:rPr>
                              <m:t> </m:t>
                            </m:r>
                            <m:r>
                              <a:rPr lang="en-US" sz="1100" b="0" i="1" kern="1200">
                                <a:latin typeface="Cambria Math" panose="02040503050406030204" pitchFamily="18" charset="0"/>
                              </a:rPr>
                              <m:t>𝐷𝑂</m:t>
                            </m:r>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e>
                        </m:d>
                      </m:num>
                      <m:den>
                        <m:d>
                          <m:dPr>
                            <m:ctrlPr>
                              <a:rPr lang="en-US" sz="1100" b="0" i="1" kern="1200">
                                <a:latin typeface="Cambria Math" panose="02040503050406030204" pitchFamily="18" charset="0"/>
                              </a:rPr>
                            </m:ctrlPr>
                          </m:dPr>
                          <m:e>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𝑚𝐿</m:t>
                                </m:r>
                                <m:r>
                                  <a:rPr lang="en-US" sz="1100" b="0" i="1" kern="1200">
                                    <a:latin typeface="Cambria Math" panose="02040503050406030204" pitchFamily="18" charset="0"/>
                                  </a:rPr>
                                  <m:t> </m:t>
                                </m:r>
                                <m:r>
                                  <a:rPr lang="en-US" sz="1100" b="0" i="1" kern="1200">
                                    <a:latin typeface="Cambria Math" panose="02040503050406030204" pitchFamily="18" charset="0"/>
                                  </a:rPr>
                                  <m:t>𝑜𝑓</m:t>
                                </m:r>
                                <m:r>
                                  <a:rPr lang="en-US" sz="1100" b="0" i="1" kern="1200">
                                    <a:latin typeface="Cambria Math" panose="02040503050406030204" pitchFamily="18" charset="0"/>
                                  </a:rPr>
                                  <m:t> </m:t>
                                </m:r>
                                <m:r>
                                  <a:rPr lang="en-US" sz="1100" b="0" i="1" kern="1200">
                                    <a:latin typeface="Cambria Math" panose="02040503050406030204" pitchFamily="18" charset="0"/>
                                  </a:rPr>
                                  <m:t>𝑆𝑎𝑚𝑝𝑙𝑒</m:t>
                                </m:r>
                                <m:r>
                                  <a:rPr lang="en-US" sz="1100" b="0" i="1" kern="1200">
                                    <a:latin typeface="Cambria Math" panose="02040503050406030204" pitchFamily="18" charset="0"/>
                                  </a:rPr>
                                  <m:t> </m:t>
                                </m:r>
                                <m:r>
                                  <a:rPr lang="en-US" sz="1100" b="0" i="1" kern="1200">
                                    <a:latin typeface="Cambria Math" panose="02040503050406030204" pitchFamily="18" charset="0"/>
                                  </a:rPr>
                                  <m:t>𝐴𝑑𝑑𝑒𝑑</m:t>
                                </m:r>
                              </m:num>
                              <m:den>
                                <m:r>
                                  <a:rPr lang="en-US" sz="1100" b="0" i="1" kern="1200">
                                    <a:latin typeface="Cambria Math" panose="02040503050406030204" pitchFamily="18" charset="0"/>
                                  </a:rPr>
                                  <m:t>𝐵𝑜𝑡𝑡𝑙𝑒</m:t>
                                </m:r>
                                <m:r>
                                  <a:rPr lang="en-US" sz="1100" b="0" i="1" kern="1200">
                                    <a:latin typeface="Cambria Math" panose="02040503050406030204" pitchFamily="18" charset="0"/>
                                  </a:rPr>
                                  <m:t> </m:t>
                                </m:r>
                                <m:r>
                                  <a:rPr lang="en-US" sz="1100" b="0" i="1" kern="1200">
                                    <a:latin typeface="Cambria Math" panose="02040503050406030204" pitchFamily="18" charset="0"/>
                                  </a:rPr>
                                  <m:t>𝑆𝑖𝑧𝑒</m:t>
                                </m:r>
                                <m:r>
                                  <a:rPr lang="en-US" sz="1100" b="0" i="1" kern="1200">
                                    <a:latin typeface="Cambria Math" panose="02040503050406030204" pitchFamily="18" charset="0"/>
                                  </a:rPr>
                                  <m:t>, </m:t>
                                </m:r>
                                <m:r>
                                  <a:rPr lang="en-US" sz="1100" b="0" i="1" kern="1200">
                                    <a:latin typeface="Cambria Math" panose="02040503050406030204" pitchFamily="18" charset="0"/>
                                  </a:rPr>
                                  <m:t>𝑚𝐿</m:t>
                                </m:r>
                              </m:den>
                            </m:f>
                          </m:e>
                        </m:d>
                      </m:den>
                    </m:f>
                  </m:oMath>
                </m:oMathPara>
              </a14:m>
              <a:endParaRPr lang="en-US" sz="1100" kern="1200"/>
            </a:p>
          </xdr:txBody>
        </xdr:sp>
      </mc:Choice>
      <mc:Fallback xmlns="">
        <xdr:sp macro="" textlink="">
          <xdr:nvSpPr>
            <xdr:cNvPr id="4" name="TextBox 3">
              <a:extLst>
                <a:ext uri="{FF2B5EF4-FFF2-40B4-BE49-F238E27FC236}">
                  <a16:creationId xmlns:a16="http://schemas.microsoft.com/office/drawing/2014/main" id="{0545AFCA-9A68-413C-94AD-80AC6AAB38F3}"/>
                </a:ext>
              </a:extLst>
            </xdr:cNvPr>
            <xdr:cNvSpPr txBox="1"/>
          </xdr:nvSpPr>
          <xdr:spPr>
            <a:xfrm>
              <a:off x="190500" y="10012680"/>
              <a:ext cx="2844881" cy="581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kern="1200">
                  <a:latin typeface="Cambria Math" panose="02040503050406030204" pitchFamily="18" charset="0"/>
                </a:rPr>
                <a:t>〖</a:t>
              </a:r>
              <a:r>
                <a:rPr lang="en-US" sz="1100" b="0" i="0" kern="1200">
                  <a:latin typeface="Cambria Math" panose="02040503050406030204" pitchFamily="18" charset="0"/>
                </a:rPr>
                <a:t>𝐵𝑂𝐷〗_5,𝑚𝑔/𝐿=((𝐼𝑛𝑖𝑡𝑖𝑎𝑙 𝐷𝑂,𝑚𝑔/𝐿−𝐹𝑖𝑛𝑎𝑙 𝐷𝑂,𝑚𝑔/𝐿))/(((𝑚𝐿 𝑜𝑓 𝑆𝑎𝑚𝑝𝑙𝑒 𝐴𝑑𝑑𝑒𝑑)/(𝐵𝑜𝑡𝑡𝑙𝑒 𝑆𝑖𝑧𝑒, 𝑚𝐿)) )</a:t>
              </a:r>
              <a:endParaRPr lang="en-US" sz="1100" kern="1200"/>
            </a:p>
          </xdr:txBody>
        </xdr:sp>
      </mc:Fallback>
    </mc:AlternateContent>
    <xdr:clientData/>
  </xdr:oneCellAnchor>
  <xdr:oneCellAnchor>
    <xdr:from>
      <xdr:col>0</xdr:col>
      <xdr:colOff>152401</xdr:colOff>
      <xdr:row>53</xdr:row>
      <xdr:rowOff>64770</xdr:rowOff>
    </xdr:from>
    <xdr:ext cx="4937760" cy="53721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DF1DEB99-125A-5C8B-1CF3-530BD479C557}"/>
                </a:ext>
              </a:extLst>
            </xdr:cNvPr>
            <xdr:cNvSpPr txBox="1"/>
          </xdr:nvSpPr>
          <xdr:spPr>
            <a:xfrm>
              <a:off x="152401" y="9467850"/>
              <a:ext cx="4937760" cy="537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b="0" i="1" kern="1200">
                        <a:latin typeface="Cambria Math" panose="02040503050406030204" pitchFamily="18" charset="0"/>
                      </a:rPr>
                      <m:t>𝑆𝑒𝑒𝑑</m:t>
                    </m:r>
                    <m:r>
                      <a:rPr lang="en-US" sz="1100" b="0" i="1" kern="1200">
                        <a:latin typeface="Cambria Math" panose="02040503050406030204" pitchFamily="18" charset="0"/>
                      </a:rPr>
                      <m:t> </m:t>
                    </m:r>
                    <m:r>
                      <a:rPr lang="en-US" sz="1100" b="0" i="1" kern="1200">
                        <a:latin typeface="Cambria Math" panose="02040503050406030204" pitchFamily="18" charset="0"/>
                      </a:rPr>
                      <m:t>𝐶𝑜𝑛𝑡𝑟𝑖𝑏𝑢𝑡𝑖𝑜𝑛</m:t>
                    </m:r>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r>
                      <a:rPr lang="en-US" sz="1100" b="0" i="1" kern="1200">
                        <a:latin typeface="Cambria Math" panose="02040503050406030204" pitchFamily="18" charset="0"/>
                      </a:rPr>
                      <m:t>𝐷𝑂</m:t>
                    </m:r>
                    <m:r>
                      <a:rPr lang="en-US" sz="1100" b="0" i="1" kern="1200">
                        <a:latin typeface="Cambria Math" panose="02040503050406030204" pitchFamily="18" charset="0"/>
                      </a:rPr>
                      <m:t> </m:t>
                    </m:r>
                    <m:r>
                      <a:rPr lang="en-US" sz="1100" b="0" i="1" kern="1200">
                        <a:latin typeface="Cambria Math" panose="02040503050406030204" pitchFamily="18" charset="0"/>
                      </a:rPr>
                      <m:t>𝑝𝑒𝑟</m:t>
                    </m:r>
                    <m:r>
                      <a:rPr lang="en-US" sz="1100" b="0" i="1" kern="1200">
                        <a:latin typeface="Cambria Math" panose="02040503050406030204" pitchFamily="18" charset="0"/>
                      </a:rPr>
                      <m:t> </m:t>
                    </m:r>
                    <m:r>
                      <a:rPr lang="en-US" sz="1100" b="0" i="1" kern="1200">
                        <a:latin typeface="Cambria Math" panose="02040503050406030204" pitchFamily="18" charset="0"/>
                      </a:rPr>
                      <m:t>𝑚𝐿</m:t>
                    </m:r>
                    <m:r>
                      <a:rPr lang="en-US" sz="1100" b="0" i="1" kern="1200">
                        <a:latin typeface="Cambria Math" panose="02040503050406030204" pitchFamily="18" charset="0"/>
                      </a:rPr>
                      <m:t> </m:t>
                    </m:r>
                    <m:r>
                      <a:rPr lang="en-US" sz="1100" b="0" i="1" kern="1200">
                        <a:latin typeface="Cambria Math" panose="02040503050406030204" pitchFamily="18" charset="0"/>
                      </a:rPr>
                      <m:t>𝑜𝑓</m:t>
                    </m:r>
                    <m:r>
                      <a:rPr lang="en-US" sz="1100" b="0" i="1" kern="1200">
                        <a:latin typeface="Cambria Math" panose="02040503050406030204" pitchFamily="18" charset="0"/>
                      </a:rPr>
                      <m:t> </m:t>
                    </m:r>
                    <m:r>
                      <a:rPr lang="en-US" sz="1100" b="0" i="1" kern="1200">
                        <a:latin typeface="Cambria Math" panose="02040503050406030204" pitchFamily="18" charset="0"/>
                      </a:rPr>
                      <m:t>𝑆𝑒𝑒𝑑</m:t>
                    </m:r>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d>
                          <m:dPr>
                            <m:ctrlPr>
                              <a:rPr lang="en-US" sz="1100" b="0" i="1" kern="1200">
                                <a:latin typeface="Cambria Math" panose="02040503050406030204" pitchFamily="18" charset="0"/>
                              </a:rPr>
                            </m:ctrlPr>
                          </m:dPr>
                          <m:e>
                            <m:r>
                              <a:rPr lang="en-US" sz="1100" b="0" i="1" kern="1200">
                                <a:latin typeface="Cambria Math" panose="02040503050406030204" pitchFamily="18" charset="0"/>
                              </a:rPr>
                              <m:t>𝐼𝑛𝑖𝑡𝑖𝑎𝑙</m:t>
                            </m:r>
                            <m:r>
                              <a:rPr lang="en-US" sz="1100" b="0" i="1" kern="1200">
                                <a:latin typeface="Cambria Math" panose="02040503050406030204" pitchFamily="18" charset="0"/>
                              </a:rPr>
                              <m:t> </m:t>
                            </m:r>
                            <m:r>
                              <a:rPr lang="en-US" sz="1100" b="0" i="1" kern="1200">
                                <a:latin typeface="Cambria Math" panose="02040503050406030204" pitchFamily="18" charset="0"/>
                              </a:rPr>
                              <m:t>𝐷𝑂</m:t>
                            </m:r>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r>
                              <a:rPr lang="en-US" sz="1100" b="0" i="1" kern="1200">
                                <a:latin typeface="Cambria Math" panose="02040503050406030204" pitchFamily="18" charset="0"/>
                              </a:rPr>
                              <m:t>−</m:t>
                            </m:r>
                            <m:r>
                              <a:rPr lang="en-US" sz="1100" b="0" i="1" kern="1200">
                                <a:latin typeface="Cambria Math" panose="02040503050406030204" pitchFamily="18" charset="0"/>
                              </a:rPr>
                              <m:t>𝐹𝑖𝑛𝑎𝑙</m:t>
                            </m:r>
                            <m:r>
                              <a:rPr lang="en-US" sz="1100" b="0" i="1" kern="1200">
                                <a:latin typeface="Cambria Math" panose="02040503050406030204" pitchFamily="18" charset="0"/>
                              </a:rPr>
                              <m:t> </m:t>
                            </m:r>
                            <m:r>
                              <a:rPr lang="en-US" sz="1100" b="0" i="1" kern="1200">
                                <a:latin typeface="Cambria Math" panose="02040503050406030204" pitchFamily="18" charset="0"/>
                              </a:rPr>
                              <m:t>𝐷𝑂</m:t>
                            </m:r>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e>
                        </m:d>
                      </m:num>
                      <m:den>
                        <m:r>
                          <a:rPr lang="en-US" sz="1100" b="0" i="1" kern="1200">
                            <a:latin typeface="Cambria Math" panose="02040503050406030204" pitchFamily="18" charset="0"/>
                          </a:rPr>
                          <m:t>𝑚𝐿</m:t>
                        </m:r>
                        <m:r>
                          <a:rPr lang="en-US" sz="1100" b="0" i="1" kern="1200">
                            <a:latin typeface="Cambria Math" panose="02040503050406030204" pitchFamily="18" charset="0"/>
                          </a:rPr>
                          <m:t> </m:t>
                        </m:r>
                        <m:r>
                          <a:rPr lang="en-US" sz="1100" b="0" i="1" kern="1200">
                            <a:latin typeface="Cambria Math" panose="02040503050406030204" pitchFamily="18" charset="0"/>
                          </a:rPr>
                          <m:t>𝑜𝑓</m:t>
                        </m:r>
                        <m:r>
                          <a:rPr lang="en-US" sz="1100" b="0" i="1" kern="1200">
                            <a:latin typeface="Cambria Math" panose="02040503050406030204" pitchFamily="18" charset="0"/>
                          </a:rPr>
                          <m:t> </m:t>
                        </m:r>
                        <m:r>
                          <a:rPr lang="en-US" sz="1100" b="0" i="1" kern="1200">
                            <a:latin typeface="Cambria Math" panose="02040503050406030204" pitchFamily="18" charset="0"/>
                          </a:rPr>
                          <m:t>𝑆𝑒𝑒𝑑</m:t>
                        </m:r>
                        <m:r>
                          <a:rPr lang="en-US" sz="1100" b="0" i="1" kern="1200">
                            <a:latin typeface="Cambria Math" panose="02040503050406030204" pitchFamily="18" charset="0"/>
                          </a:rPr>
                          <m:t> </m:t>
                        </m:r>
                        <m:r>
                          <a:rPr lang="en-US" sz="1100" b="0" i="1" kern="1200">
                            <a:latin typeface="Cambria Math" panose="02040503050406030204" pitchFamily="18" charset="0"/>
                          </a:rPr>
                          <m:t>𝐴𝑑𝑑𝑒𝑑</m:t>
                        </m:r>
                      </m:den>
                    </m:f>
                  </m:oMath>
                </m:oMathPara>
              </a14:m>
              <a:endParaRPr lang="en-US" sz="1100" kern="1200"/>
            </a:p>
          </xdr:txBody>
        </xdr:sp>
      </mc:Choice>
      <mc:Fallback xmlns="">
        <xdr:sp macro="" textlink="">
          <xdr:nvSpPr>
            <xdr:cNvPr id="5" name="TextBox 4">
              <a:extLst>
                <a:ext uri="{FF2B5EF4-FFF2-40B4-BE49-F238E27FC236}">
                  <a16:creationId xmlns:a16="http://schemas.microsoft.com/office/drawing/2014/main" id="{DF1DEB99-125A-5C8B-1CF3-530BD479C557}"/>
                </a:ext>
              </a:extLst>
            </xdr:cNvPr>
            <xdr:cNvSpPr txBox="1"/>
          </xdr:nvSpPr>
          <xdr:spPr>
            <a:xfrm>
              <a:off x="152401" y="9467850"/>
              <a:ext cx="4937760" cy="537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en-US" sz="1100" b="0" i="0" kern="1200">
                  <a:latin typeface="Cambria Math" panose="02040503050406030204" pitchFamily="18" charset="0"/>
                </a:rPr>
                <a:t>𝑆𝑒𝑒𝑑 𝐶𝑜𝑛𝑡𝑟𝑖𝑏𝑢𝑡𝑖𝑜𝑛,𝑚𝑔/𝐿 𝐷𝑂 𝑝𝑒𝑟 𝑚𝐿 𝑜𝑓 𝑆𝑒𝑒𝑑=((𝐼𝑛𝑖𝑡𝑖𝑎𝑙 𝐷𝑂,𝑚𝑔/𝐿−𝐹𝑖𝑛𝑎𝑙 𝐷𝑂,𝑚𝑔/𝐿))/(𝑚𝐿 𝑜𝑓 𝑆𝑒𝑒𝑑 𝐴𝑑𝑑𝑒𝑑)</a:t>
              </a:r>
              <a:endParaRPr lang="en-US" sz="1100" kern="1200"/>
            </a:p>
          </xdr:txBody>
        </xdr:sp>
      </mc:Fallback>
    </mc:AlternateContent>
    <xdr:clientData/>
  </xdr:oneCellAnchor>
  <xdr:oneCellAnchor>
    <xdr:from>
      <xdr:col>1</xdr:col>
      <xdr:colOff>0</xdr:colOff>
      <xdr:row>51</xdr:row>
      <xdr:rowOff>87630</xdr:rowOff>
    </xdr:from>
    <xdr:ext cx="2338974" cy="32028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CE8D6A94-9D5D-0833-D427-EC02AF83460D}"/>
                </a:ext>
              </a:extLst>
            </xdr:cNvPr>
            <xdr:cNvSpPr txBox="1"/>
          </xdr:nvSpPr>
          <xdr:spPr>
            <a:xfrm>
              <a:off x="198120" y="9140190"/>
              <a:ext cx="2338974" cy="320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kern="1200">
                        <a:latin typeface="Cambria Math" panose="02040503050406030204" pitchFamily="18" charset="0"/>
                      </a:rPr>
                      <m:t>𝐷𝑖𝑙𝑢𝑡𝑖𝑜𝑛</m:t>
                    </m:r>
                    <m:r>
                      <a:rPr lang="en-US" sz="1100" b="0" i="1" kern="1200">
                        <a:latin typeface="Cambria Math" panose="02040503050406030204" pitchFamily="18" charset="0"/>
                      </a:rPr>
                      <m:t> </m:t>
                    </m:r>
                    <m:r>
                      <a:rPr lang="en-US" sz="1100" b="0" i="1" kern="1200">
                        <a:latin typeface="Cambria Math" panose="02040503050406030204" pitchFamily="18" charset="0"/>
                      </a:rPr>
                      <m:t>𝐹𝑎𝑐𝑡𝑜𝑟</m:t>
                    </m:r>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𝑚𝐿</m:t>
                        </m:r>
                        <m:r>
                          <a:rPr lang="en-US" sz="1100" b="0" i="1" kern="1200">
                            <a:latin typeface="Cambria Math" panose="02040503050406030204" pitchFamily="18" charset="0"/>
                          </a:rPr>
                          <m:t> </m:t>
                        </m:r>
                        <m:r>
                          <a:rPr lang="en-US" sz="1100" b="0" i="1" kern="1200">
                            <a:latin typeface="Cambria Math" panose="02040503050406030204" pitchFamily="18" charset="0"/>
                          </a:rPr>
                          <m:t>𝑆𝑎𝑚𝑝𝑙𝑒</m:t>
                        </m:r>
                        <m:r>
                          <a:rPr lang="en-US" sz="1100" b="0" i="1" kern="1200">
                            <a:latin typeface="Cambria Math" panose="02040503050406030204" pitchFamily="18" charset="0"/>
                          </a:rPr>
                          <m:t> </m:t>
                        </m:r>
                        <m:r>
                          <a:rPr lang="en-US" sz="1100" b="0" i="1" kern="1200">
                            <a:latin typeface="Cambria Math" panose="02040503050406030204" pitchFamily="18" charset="0"/>
                          </a:rPr>
                          <m:t>𝐴𝑑𝑑𝑒𝑑</m:t>
                        </m:r>
                      </m:num>
                      <m:den>
                        <m:r>
                          <a:rPr lang="en-US" sz="1100" b="0" i="1" kern="1200">
                            <a:latin typeface="Cambria Math" panose="02040503050406030204" pitchFamily="18" charset="0"/>
                          </a:rPr>
                          <m:t>𝑚𝐿</m:t>
                        </m:r>
                        <m:r>
                          <a:rPr lang="en-US" sz="1100" b="0" i="1" kern="1200">
                            <a:latin typeface="Cambria Math" panose="02040503050406030204" pitchFamily="18" charset="0"/>
                          </a:rPr>
                          <m:t> </m:t>
                        </m:r>
                        <m:r>
                          <a:rPr lang="en-US" sz="1100" b="0" i="1" kern="1200">
                            <a:latin typeface="Cambria Math" panose="02040503050406030204" pitchFamily="18" charset="0"/>
                          </a:rPr>
                          <m:t>𝐵𝑜𝑡𝑡𝑙𝑒</m:t>
                        </m:r>
                        <m:r>
                          <a:rPr lang="en-US" sz="1100" b="0" i="1" kern="1200">
                            <a:latin typeface="Cambria Math" panose="02040503050406030204" pitchFamily="18" charset="0"/>
                          </a:rPr>
                          <m:t> </m:t>
                        </m:r>
                        <m:r>
                          <a:rPr lang="en-US" sz="1100" b="0" i="1" kern="1200">
                            <a:latin typeface="Cambria Math" panose="02040503050406030204" pitchFamily="18" charset="0"/>
                          </a:rPr>
                          <m:t>𝑆𝑖𝑧𝑒</m:t>
                        </m:r>
                      </m:den>
                    </m:f>
                  </m:oMath>
                </m:oMathPara>
              </a14:m>
              <a:endParaRPr lang="en-US" sz="1100" kern="1200"/>
            </a:p>
          </xdr:txBody>
        </xdr:sp>
      </mc:Choice>
      <mc:Fallback xmlns="">
        <xdr:sp macro="" textlink="">
          <xdr:nvSpPr>
            <xdr:cNvPr id="6" name="TextBox 5">
              <a:extLst>
                <a:ext uri="{FF2B5EF4-FFF2-40B4-BE49-F238E27FC236}">
                  <a16:creationId xmlns:a16="http://schemas.microsoft.com/office/drawing/2014/main" id="{CE8D6A94-9D5D-0833-D427-EC02AF83460D}"/>
                </a:ext>
              </a:extLst>
            </xdr:cNvPr>
            <xdr:cNvSpPr txBox="1"/>
          </xdr:nvSpPr>
          <xdr:spPr>
            <a:xfrm>
              <a:off x="198120" y="9140190"/>
              <a:ext cx="2338974" cy="320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kern="1200">
                  <a:latin typeface="Cambria Math" panose="02040503050406030204" pitchFamily="18" charset="0"/>
                </a:rPr>
                <a:t>𝐷𝑖𝑙𝑢𝑡𝑖𝑜𝑛 𝐹𝑎𝑐𝑡𝑜𝑟=(𝑚𝐿 𝑆𝑎𝑚𝑝𝑙𝑒 𝐴𝑑𝑑𝑒𝑑)/(𝑚𝐿 𝐵𝑜𝑡𝑡𝑙𝑒 𝑆𝑖𝑧𝑒)</a:t>
              </a:r>
              <a:endParaRPr lang="en-US" sz="1100" kern="12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17</xdr:col>
      <xdr:colOff>746760</xdr:colOff>
      <xdr:row>1</xdr:row>
      <xdr:rowOff>129540</xdr:rowOff>
    </xdr:from>
    <xdr:to>
      <xdr:col>20</xdr:col>
      <xdr:colOff>497989</xdr:colOff>
      <xdr:row>5</xdr:row>
      <xdr:rowOff>45720</xdr:rowOff>
    </xdr:to>
    <xdr:sp macro="[0]!BODClear2" textlink="">
      <xdr:nvSpPr>
        <xdr:cNvPr id="2" name="Bevel 1">
          <a:extLst>
            <a:ext uri="{FF2B5EF4-FFF2-40B4-BE49-F238E27FC236}">
              <a16:creationId xmlns:a16="http://schemas.microsoft.com/office/drawing/2014/main" id="{760D35BD-0536-4577-A253-1E45CC90DAF4}"/>
            </a:ext>
          </a:extLst>
        </xdr:cNvPr>
        <xdr:cNvSpPr/>
      </xdr:nvSpPr>
      <xdr:spPr>
        <a:xfrm>
          <a:off x="12881610" y="310515"/>
          <a:ext cx="2751604" cy="64008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CLEAR DATA</a:t>
          </a:r>
        </a:p>
      </xdr:txBody>
    </xdr:sp>
    <xdr:clientData/>
  </xdr:twoCellAnchor>
  <xdr:oneCellAnchor>
    <xdr:from>
      <xdr:col>7</xdr:col>
      <xdr:colOff>276859</xdr:colOff>
      <xdr:row>59</xdr:row>
      <xdr:rowOff>58420</xdr:rowOff>
    </xdr:from>
    <xdr:ext cx="7026346" cy="58105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330B5B57-FA5D-4C5B-A9B4-4E9EDDABA299}"/>
                </a:ext>
              </a:extLst>
            </xdr:cNvPr>
            <xdr:cNvSpPr txBox="1"/>
          </xdr:nvSpPr>
          <xdr:spPr>
            <a:xfrm>
              <a:off x="4531359" y="10662920"/>
              <a:ext cx="7026346" cy="581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kern="1200">
                            <a:latin typeface="Cambria Math" panose="02040503050406030204" pitchFamily="18" charset="0"/>
                          </a:rPr>
                        </m:ctrlPr>
                      </m:sSubPr>
                      <m:e>
                        <m:r>
                          <a:rPr lang="en-US" sz="1100" b="0" i="1" kern="1200">
                            <a:latin typeface="Cambria Math" panose="02040503050406030204" pitchFamily="18" charset="0"/>
                          </a:rPr>
                          <m:t>𝐵𝑂𝐷</m:t>
                        </m:r>
                      </m:e>
                      <m:sub>
                        <m:r>
                          <a:rPr lang="en-US" sz="1100" b="0" i="1" kern="1200">
                            <a:latin typeface="Cambria Math" panose="02040503050406030204" pitchFamily="18" charset="0"/>
                          </a:rPr>
                          <m:t>5</m:t>
                        </m:r>
                      </m:sub>
                    </m:sSub>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d>
                          <m:dPr>
                            <m:ctrlPr>
                              <a:rPr lang="en-US" sz="1100" b="0" i="1" kern="1200">
                                <a:latin typeface="Cambria Math" panose="02040503050406030204" pitchFamily="18" charset="0"/>
                              </a:rPr>
                            </m:ctrlPr>
                          </m:dPr>
                          <m:e>
                            <m:r>
                              <a:rPr lang="en-US" sz="1100" b="0" i="1" kern="1200">
                                <a:latin typeface="Cambria Math" panose="02040503050406030204" pitchFamily="18" charset="0"/>
                              </a:rPr>
                              <m:t>𝐼𝑛𝑖𝑡𝑖𝑎𝑙</m:t>
                            </m:r>
                            <m:r>
                              <a:rPr lang="en-US" sz="1100" b="0" i="1" kern="1200">
                                <a:latin typeface="Cambria Math" panose="02040503050406030204" pitchFamily="18" charset="0"/>
                              </a:rPr>
                              <m:t> </m:t>
                            </m:r>
                            <m:r>
                              <a:rPr lang="en-US" sz="1100" b="0" i="1" kern="1200">
                                <a:latin typeface="Cambria Math" panose="02040503050406030204" pitchFamily="18" charset="0"/>
                              </a:rPr>
                              <m:t>𝐷𝑂</m:t>
                            </m:r>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r>
                              <a:rPr lang="en-US" sz="1100" b="0" i="1" kern="1200">
                                <a:latin typeface="Cambria Math" panose="02040503050406030204" pitchFamily="18" charset="0"/>
                              </a:rPr>
                              <m:t>−</m:t>
                            </m:r>
                            <m:r>
                              <a:rPr lang="en-US" sz="1100" b="0" i="1" kern="1200">
                                <a:latin typeface="Cambria Math" panose="02040503050406030204" pitchFamily="18" charset="0"/>
                              </a:rPr>
                              <m:t>𝐹𝑖𝑛𝑎𝑙</m:t>
                            </m:r>
                            <m:r>
                              <a:rPr lang="en-US" sz="1100" b="0" i="1" kern="1200">
                                <a:latin typeface="Cambria Math" panose="02040503050406030204" pitchFamily="18" charset="0"/>
                              </a:rPr>
                              <m:t> </m:t>
                            </m:r>
                            <m:r>
                              <a:rPr lang="en-US" sz="1100" b="0" i="1" kern="1200">
                                <a:latin typeface="Cambria Math" panose="02040503050406030204" pitchFamily="18" charset="0"/>
                              </a:rPr>
                              <m:t>𝐷𝑂</m:t>
                            </m:r>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e>
                        </m:d>
                        <m:r>
                          <a:rPr lang="en-US" sz="1100" b="0" i="1" kern="1200">
                            <a:latin typeface="Cambria Math" panose="02040503050406030204" pitchFamily="18" charset="0"/>
                          </a:rPr>
                          <m:t>−</m:t>
                        </m:r>
                        <m:d>
                          <m:dPr>
                            <m:ctrlPr>
                              <a:rPr lang="en-US" sz="1100" b="0" i="1" kern="1200">
                                <a:latin typeface="Cambria Math" panose="02040503050406030204" pitchFamily="18" charset="0"/>
                              </a:rPr>
                            </m:ctrlPr>
                          </m:dPr>
                          <m:e>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r>
                              <a:rPr lang="en-US" sz="1100" b="0" i="1" kern="1200">
                                <a:latin typeface="Cambria Math" panose="02040503050406030204" pitchFamily="18" charset="0"/>
                              </a:rPr>
                              <m:t>𝐷𝑂</m:t>
                            </m:r>
                            <m:r>
                              <a:rPr lang="en-US" sz="1100" b="0" i="1" kern="1200">
                                <a:latin typeface="Cambria Math" panose="02040503050406030204" pitchFamily="18" charset="0"/>
                              </a:rPr>
                              <m:t> </m:t>
                            </m:r>
                            <m:r>
                              <a:rPr lang="en-US" sz="1100" b="0" i="1" kern="1200">
                                <a:latin typeface="Cambria Math" panose="02040503050406030204" pitchFamily="18" charset="0"/>
                              </a:rPr>
                              <m:t>𝐶𝑜𝑛𝑠𝑢𝑚𝑒𝑑</m:t>
                            </m:r>
                            <m:r>
                              <a:rPr lang="en-US" sz="1100" b="0" i="1" kern="1200">
                                <a:latin typeface="Cambria Math" panose="02040503050406030204" pitchFamily="18" charset="0"/>
                              </a:rPr>
                              <m:t> </m:t>
                            </m:r>
                            <m:r>
                              <a:rPr lang="en-US" sz="1100" b="0" i="1" kern="1200">
                                <a:latin typeface="Cambria Math" panose="02040503050406030204" pitchFamily="18" charset="0"/>
                              </a:rPr>
                              <m:t>𝑝𝑒𝑟</m:t>
                            </m:r>
                            <m:r>
                              <a:rPr lang="en-US" sz="1100" b="0" i="1" kern="1200">
                                <a:latin typeface="Cambria Math" panose="02040503050406030204" pitchFamily="18" charset="0"/>
                              </a:rPr>
                              <m:t> </m:t>
                            </m:r>
                            <m:r>
                              <a:rPr lang="en-US" sz="1100" b="0" i="1" kern="1200">
                                <a:latin typeface="Cambria Math" panose="02040503050406030204" pitchFamily="18" charset="0"/>
                              </a:rPr>
                              <m:t>𝑚𝐿</m:t>
                            </m:r>
                            <m:r>
                              <a:rPr lang="en-US" sz="1100" b="0" i="1" kern="1200">
                                <a:latin typeface="Cambria Math" panose="02040503050406030204" pitchFamily="18" charset="0"/>
                              </a:rPr>
                              <m:t> </m:t>
                            </m:r>
                            <m:r>
                              <a:rPr lang="en-US" sz="1100" b="0" i="1" kern="1200">
                                <a:latin typeface="Cambria Math" panose="02040503050406030204" pitchFamily="18" charset="0"/>
                              </a:rPr>
                              <m:t>𝑜𝑓</m:t>
                            </m:r>
                            <m:r>
                              <a:rPr lang="en-US" sz="1100" b="0" i="1" kern="1200">
                                <a:latin typeface="Cambria Math" panose="02040503050406030204" pitchFamily="18" charset="0"/>
                              </a:rPr>
                              <m:t> </m:t>
                            </m:r>
                            <m:r>
                              <a:rPr lang="en-US" sz="1100" b="0" i="1" kern="1200">
                                <a:latin typeface="Cambria Math" panose="02040503050406030204" pitchFamily="18" charset="0"/>
                              </a:rPr>
                              <m:t>𝑆𝑒𝑒𝑑</m:t>
                            </m:r>
                            <m:r>
                              <a:rPr lang="en-US" sz="1100" b="0" i="1" kern="1200">
                                <a:latin typeface="Cambria Math" panose="02040503050406030204" pitchFamily="18" charset="0"/>
                              </a:rPr>
                              <m:t> </m:t>
                            </m:r>
                            <m:r>
                              <a:rPr lang="en-US" sz="1100" b="0" i="1" kern="1200">
                                <a:latin typeface="Cambria Math" panose="02040503050406030204" pitchFamily="18" charset="0"/>
                              </a:rPr>
                              <m:t>𝐴𝑑𝑑𝑒𝑑</m:t>
                            </m:r>
                            <m:r>
                              <a:rPr lang="en-US" sz="1100" b="0" i="1" kern="1200">
                                <a:latin typeface="Cambria Math" panose="02040503050406030204" pitchFamily="18" charset="0"/>
                                <a:ea typeface="Cambria Math" panose="02040503050406030204" pitchFamily="18" charset="0"/>
                              </a:rPr>
                              <m:t>×</m:t>
                            </m:r>
                            <m:r>
                              <a:rPr lang="en-US" sz="1100" b="0" i="1" kern="1200">
                                <a:latin typeface="Cambria Math" panose="02040503050406030204" pitchFamily="18" charset="0"/>
                                <a:ea typeface="Cambria Math" panose="02040503050406030204" pitchFamily="18" charset="0"/>
                              </a:rPr>
                              <m:t>𝑚𝐿</m:t>
                            </m:r>
                            <m:r>
                              <a:rPr lang="en-US" sz="1100" b="0" i="1" kern="1200">
                                <a:latin typeface="Cambria Math" panose="02040503050406030204" pitchFamily="18" charset="0"/>
                                <a:ea typeface="Cambria Math" panose="02040503050406030204" pitchFamily="18" charset="0"/>
                              </a:rPr>
                              <m:t> </m:t>
                            </m:r>
                            <m:r>
                              <a:rPr lang="en-US" sz="1100" b="0" i="1" kern="1200">
                                <a:latin typeface="Cambria Math" panose="02040503050406030204" pitchFamily="18" charset="0"/>
                                <a:ea typeface="Cambria Math" panose="02040503050406030204" pitchFamily="18" charset="0"/>
                              </a:rPr>
                              <m:t>𝑜𝑓</m:t>
                            </m:r>
                            <m:r>
                              <a:rPr lang="en-US" sz="1100" b="0" i="1" kern="1200">
                                <a:latin typeface="Cambria Math" panose="02040503050406030204" pitchFamily="18" charset="0"/>
                                <a:ea typeface="Cambria Math" panose="02040503050406030204" pitchFamily="18" charset="0"/>
                              </a:rPr>
                              <m:t> </m:t>
                            </m:r>
                            <m:r>
                              <a:rPr lang="en-US" sz="1100" b="0" i="1" kern="1200">
                                <a:latin typeface="Cambria Math" panose="02040503050406030204" pitchFamily="18" charset="0"/>
                                <a:ea typeface="Cambria Math" panose="02040503050406030204" pitchFamily="18" charset="0"/>
                              </a:rPr>
                              <m:t>𝑆𝑒𝑒𝑑</m:t>
                            </m:r>
                            <m:r>
                              <a:rPr lang="en-US" sz="1100" b="0" i="1" kern="1200">
                                <a:latin typeface="Cambria Math" panose="02040503050406030204" pitchFamily="18" charset="0"/>
                                <a:ea typeface="Cambria Math" panose="02040503050406030204" pitchFamily="18" charset="0"/>
                              </a:rPr>
                              <m:t> </m:t>
                            </m:r>
                            <m:r>
                              <a:rPr lang="en-US" sz="1100" b="0" i="1" kern="1200">
                                <a:latin typeface="Cambria Math" panose="02040503050406030204" pitchFamily="18" charset="0"/>
                                <a:ea typeface="Cambria Math" panose="02040503050406030204" pitchFamily="18" charset="0"/>
                              </a:rPr>
                              <m:t>𝐴𝑑𝑑𝑒𝑑</m:t>
                            </m:r>
                          </m:e>
                        </m:d>
                      </m:num>
                      <m:den>
                        <m:d>
                          <m:dPr>
                            <m:ctrlPr>
                              <a:rPr lang="en-US" sz="1100" b="0" i="1" kern="1200">
                                <a:latin typeface="Cambria Math" panose="02040503050406030204" pitchFamily="18" charset="0"/>
                              </a:rPr>
                            </m:ctrlPr>
                          </m:dPr>
                          <m:e>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𝑚𝐿</m:t>
                                </m:r>
                                <m:r>
                                  <a:rPr lang="en-US" sz="1100" b="0" i="1" kern="1200">
                                    <a:latin typeface="Cambria Math" panose="02040503050406030204" pitchFamily="18" charset="0"/>
                                  </a:rPr>
                                  <m:t> </m:t>
                                </m:r>
                                <m:r>
                                  <a:rPr lang="en-US" sz="1100" b="0" i="1" kern="1200">
                                    <a:latin typeface="Cambria Math" panose="02040503050406030204" pitchFamily="18" charset="0"/>
                                  </a:rPr>
                                  <m:t>𝑜𝑓</m:t>
                                </m:r>
                                <m:r>
                                  <a:rPr lang="en-US" sz="1100" b="0" i="1" kern="1200">
                                    <a:latin typeface="Cambria Math" panose="02040503050406030204" pitchFamily="18" charset="0"/>
                                  </a:rPr>
                                  <m:t> </m:t>
                                </m:r>
                                <m:r>
                                  <a:rPr lang="en-US" sz="1100" b="0" i="1" kern="1200">
                                    <a:latin typeface="Cambria Math" panose="02040503050406030204" pitchFamily="18" charset="0"/>
                                  </a:rPr>
                                  <m:t>𝑆𝑎𝑚𝑝𝑙𝑒</m:t>
                                </m:r>
                                <m:r>
                                  <a:rPr lang="en-US" sz="1100" b="0" i="1" kern="1200">
                                    <a:latin typeface="Cambria Math" panose="02040503050406030204" pitchFamily="18" charset="0"/>
                                  </a:rPr>
                                  <m:t> </m:t>
                                </m:r>
                                <m:r>
                                  <a:rPr lang="en-US" sz="1100" b="0" i="1" kern="1200">
                                    <a:latin typeface="Cambria Math" panose="02040503050406030204" pitchFamily="18" charset="0"/>
                                  </a:rPr>
                                  <m:t>𝐴𝑑𝑑𝑒𝑑</m:t>
                                </m:r>
                              </m:num>
                              <m:den>
                                <m:r>
                                  <a:rPr lang="en-US" sz="1100" b="0" i="1" kern="1200">
                                    <a:latin typeface="Cambria Math" panose="02040503050406030204" pitchFamily="18" charset="0"/>
                                  </a:rPr>
                                  <m:t>𝐵𝑜𝑡𝑡𝑙𝑒</m:t>
                                </m:r>
                                <m:r>
                                  <a:rPr lang="en-US" sz="1100" b="0" i="1" kern="1200">
                                    <a:latin typeface="Cambria Math" panose="02040503050406030204" pitchFamily="18" charset="0"/>
                                  </a:rPr>
                                  <m:t> </m:t>
                                </m:r>
                                <m:r>
                                  <a:rPr lang="en-US" sz="1100" b="0" i="1" kern="1200">
                                    <a:latin typeface="Cambria Math" panose="02040503050406030204" pitchFamily="18" charset="0"/>
                                  </a:rPr>
                                  <m:t>𝑆𝑖𝑧𝑒</m:t>
                                </m:r>
                                <m:r>
                                  <a:rPr lang="en-US" sz="1100" b="0" i="1" kern="1200">
                                    <a:latin typeface="Cambria Math" panose="02040503050406030204" pitchFamily="18" charset="0"/>
                                  </a:rPr>
                                  <m:t>, </m:t>
                                </m:r>
                                <m:r>
                                  <a:rPr lang="en-US" sz="1100" b="0" i="1" kern="1200">
                                    <a:latin typeface="Cambria Math" panose="02040503050406030204" pitchFamily="18" charset="0"/>
                                  </a:rPr>
                                  <m:t>𝑚𝐿</m:t>
                                </m:r>
                              </m:den>
                            </m:f>
                          </m:e>
                        </m:d>
                      </m:den>
                    </m:f>
                  </m:oMath>
                </m:oMathPara>
              </a14:m>
              <a:endParaRPr lang="en-US" sz="1100" kern="1200"/>
            </a:p>
          </xdr:txBody>
        </xdr:sp>
      </mc:Choice>
      <mc:Fallback xmlns="">
        <xdr:sp macro="" textlink="">
          <xdr:nvSpPr>
            <xdr:cNvPr id="3" name="TextBox 2">
              <a:extLst>
                <a:ext uri="{FF2B5EF4-FFF2-40B4-BE49-F238E27FC236}">
                  <a16:creationId xmlns:a16="http://schemas.microsoft.com/office/drawing/2014/main" id="{330B5B57-FA5D-4C5B-A9B4-4E9EDDABA299}"/>
                </a:ext>
              </a:extLst>
            </xdr:cNvPr>
            <xdr:cNvSpPr txBox="1"/>
          </xdr:nvSpPr>
          <xdr:spPr>
            <a:xfrm>
              <a:off x="4531359" y="10662920"/>
              <a:ext cx="7026346" cy="581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kern="1200">
                  <a:latin typeface="Cambria Math" panose="02040503050406030204" pitchFamily="18" charset="0"/>
                </a:rPr>
                <a:t>〖</a:t>
              </a:r>
              <a:r>
                <a:rPr lang="en-US" sz="1100" b="0" i="0" kern="1200">
                  <a:latin typeface="Cambria Math" panose="02040503050406030204" pitchFamily="18" charset="0"/>
                </a:rPr>
                <a:t>𝐵𝑂𝐷〗_5,𝑚𝑔/𝐿=((𝐼𝑛𝑖𝑡𝑖𝑎𝑙 𝐷𝑂,𝑚𝑔/𝐿−𝐹𝑖𝑛𝑎𝑙 𝐷𝑂,𝑚𝑔/𝐿)−(𝑚𝑔/𝐿 𝐷𝑂 𝐶𝑜𝑛𝑠𝑢𝑚𝑒𝑑 𝑝𝑒𝑟 𝑚𝐿 𝑜𝑓 𝑆𝑒𝑒𝑑 𝐴𝑑𝑑𝑒𝑑</a:t>
              </a:r>
              <a:r>
                <a:rPr lang="en-US" sz="1100" b="0" i="0" kern="1200">
                  <a:latin typeface="Cambria Math" panose="02040503050406030204" pitchFamily="18" charset="0"/>
                  <a:ea typeface="Cambria Math" panose="02040503050406030204" pitchFamily="18" charset="0"/>
                </a:rPr>
                <a:t>×𝑚𝐿 𝑜𝑓 𝑆𝑒𝑒𝑑 𝐴𝑑𝑑𝑒𝑑))/(((</a:t>
              </a:r>
              <a:r>
                <a:rPr lang="en-US" sz="1100" b="0" i="0" kern="1200">
                  <a:latin typeface="Cambria Math" panose="02040503050406030204" pitchFamily="18" charset="0"/>
                </a:rPr>
                <a:t>𝑚𝐿 𝑜𝑓 𝑆𝑎𝑚𝑝𝑙𝑒 𝐴𝑑𝑑𝑒𝑑)/(𝐵𝑜𝑡𝑡𝑙𝑒 𝑆𝑖𝑧𝑒, 𝑚𝐿)) )</a:t>
              </a:r>
              <a:endParaRPr lang="en-US" sz="1100" kern="1200"/>
            </a:p>
          </xdr:txBody>
        </xdr:sp>
      </mc:Fallback>
    </mc:AlternateContent>
    <xdr:clientData/>
  </xdr:oneCellAnchor>
  <xdr:oneCellAnchor>
    <xdr:from>
      <xdr:col>7</xdr:col>
      <xdr:colOff>292099</xdr:colOff>
      <xdr:row>55</xdr:row>
      <xdr:rowOff>46990</xdr:rowOff>
    </xdr:from>
    <xdr:ext cx="2844881" cy="58105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593CC0AF-79D1-4B89-A745-F70642660179}"/>
                </a:ext>
              </a:extLst>
            </xdr:cNvPr>
            <xdr:cNvSpPr txBox="1"/>
          </xdr:nvSpPr>
          <xdr:spPr>
            <a:xfrm>
              <a:off x="4546599" y="9965690"/>
              <a:ext cx="2844881" cy="581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kern="1200">
                            <a:latin typeface="Cambria Math" panose="02040503050406030204" pitchFamily="18" charset="0"/>
                          </a:rPr>
                        </m:ctrlPr>
                      </m:sSubPr>
                      <m:e>
                        <m:r>
                          <a:rPr lang="en-US" sz="1100" b="0" i="1" kern="1200">
                            <a:latin typeface="Cambria Math" panose="02040503050406030204" pitchFamily="18" charset="0"/>
                          </a:rPr>
                          <m:t>𝐵𝑂𝐷</m:t>
                        </m:r>
                      </m:e>
                      <m:sub>
                        <m:r>
                          <a:rPr lang="en-US" sz="1100" b="0" i="1" kern="1200">
                            <a:latin typeface="Cambria Math" panose="02040503050406030204" pitchFamily="18" charset="0"/>
                          </a:rPr>
                          <m:t>5</m:t>
                        </m:r>
                      </m:sub>
                    </m:sSub>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d>
                          <m:dPr>
                            <m:ctrlPr>
                              <a:rPr lang="en-US" sz="1100" b="0" i="1" kern="1200">
                                <a:latin typeface="Cambria Math" panose="02040503050406030204" pitchFamily="18" charset="0"/>
                              </a:rPr>
                            </m:ctrlPr>
                          </m:dPr>
                          <m:e>
                            <m:r>
                              <a:rPr lang="en-US" sz="1100" b="0" i="1" kern="1200">
                                <a:latin typeface="Cambria Math" panose="02040503050406030204" pitchFamily="18" charset="0"/>
                              </a:rPr>
                              <m:t>𝐼𝑛𝑖𝑡𝑖𝑎𝑙</m:t>
                            </m:r>
                            <m:r>
                              <a:rPr lang="en-US" sz="1100" b="0" i="1" kern="1200">
                                <a:latin typeface="Cambria Math" panose="02040503050406030204" pitchFamily="18" charset="0"/>
                              </a:rPr>
                              <m:t> </m:t>
                            </m:r>
                            <m:r>
                              <a:rPr lang="en-US" sz="1100" b="0" i="1" kern="1200">
                                <a:latin typeface="Cambria Math" panose="02040503050406030204" pitchFamily="18" charset="0"/>
                              </a:rPr>
                              <m:t>𝐷𝑂</m:t>
                            </m:r>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r>
                              <a:rPr lang="en-US" sz="1100" b="0" i="1" kern="1200">
                                <a:latin typeface="Cambria Math" panose="02040503050406030204" pitchFamily="18" charset="0"/>
                              </a:rPr>
                              <m:t>−</m:t>
                            </m:r>
                            <m:r>
                              <a:rPr lang="en-US" sz="1100" b="0" i="1" kern="1200">
                                <a:latin typeface="Cambria Math" panose="02040503050406030204" pitchFamily="18" charset="0"/>
                              </a:rPr>
                              <m:t>𝐹𝑖𝑛𝑎𝑙</m:t>
                            </m:r>
                            <m:r>
                              <a:rPr lang="en-US" sz="1100" b="0" i="1" kern="1200">
                                <a:latin typeface="Cambria Math" panose="02040503050406030204" pitchFamily="18" charset="0"/>
                              </a:rPr>
                              <m:t> </m:t>
                            </m:r>
                            <m:r>
                              <a:rPr lang="en-US" sz="1100" b="0" i="1" kern="1200">
                                <a:latin typeface="Cambria Math" panose="02040503050406030204" pitchFamily="18" charset="0"/>
                              </a:rPr>
                              <m:t>𝐷𝑂</m:t>
                            </m:r>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e>
                        </m:d>
                      </m:num>
                      <m:den>
                        <m:d>
                          <m:dPr>
                            <m:ctrlPr>
                              <a:rPr lang="en-US" sz="1100" b="0" i="1" kern="1200">
                                <a:latin typeface="Cambria Math" panose="02040503050406030204" pitchFamily="18" charset="0"/>
                              </a:rPr>
                            </m:ctrlPr>
                          </m:dPr>
                          <m:e>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𝑚𝐿</m:t>
                                </m:r>
                                <m:r>
                                  <a:rPr lang="en-US" sz="1100" b="0" i="1" kern="1200">
                                    <a:latin typeface="Cambria Math" panose="02040503050406030204" pitchFamily="18" charset="0"/>
                                  </a:rPr>
                                  <m:t> </m:t>
                                </m:r>
                                <m:r>
                                  <a:rPr lang="en-US" sz="1100" b="0" i="1" kern="1200">
                                    <a:latin typeface="Cambria Math" panose="02040503050406030204" pitchFamily="18" charset="0"/>
                                  </a:rPr>
                                  <m:t>𝑜𝑓</m:t>
                                </m:r>
                                <m:r>
                                  <a:rPr lang="en-US" sz="1100" b="0" i="1" kern="1200">
                                    <a:latin typeface="Cambria Math" panose="02040503050406030204" pitchFamily="18" charset="0"/>
                                  </a:rPr>
                                  <m:t> </m:t>
                                </m:r>
                                <m:r>
                                  <a:rPr lang="en-US" sz="1100" b="0" i="1" kern="1200">
                                    <a:latin typeface="Cambria Math" panose="02040503050406030204" pitchFamily="18" charset="0"/>
                                  </a:rPr>
                                  <m:t>𝑆𝑎𝑚𝑝𝑙𝑒</m:t>
                                </m:r>
                                <m:r>
                                  <a:rPr lang="en-US" sz="1100" b="0" i="1" kern="1200">
                                    <a:latin typeface="Cambria Math" panose="02040503050406030204" pitchFamily="18" charset="0"/>
                                  </a:rPr>
                                  <m:t> </m:t>
                                </m:r>
                                <m:r>
                                  <a:rPr lang="en-US" sz="1100" b="0" i="1" kern="1200">
                                    <a:latin typeface="Cambria Math" panose="02040503050406030204" pitchFamily="18" charset="0"/>
                                  </a:rPr>
                                  <m:t>𝐴𝑑𝑑𝑒𝑑</m:t>
                                </m:r>
                              </m:num>
                              <m:den>
                                <m:r>
                                  <a:rPr lang="en-US" sz="1100" b="0" i="1" kern="1200">
                                    <a:latin typeface="Cambria Math" panose="02040503050406030204" pitchFamily="18" charset="0"/>
                                  </a:rPr>
                                  <m:t>𝐵𝑜𝑡𝑡𝑙𝑒</m:t>
                                </m:r>
                                <m:r>
                                  <a:rPr lang="en-US" sz="1100" b="0" i="1" kern="1200">
                                    <a:latin typeface="Cambria Math" panose="02040503050406030204" pitchFamily="18" charset="0"/>
                                  </a:rPr>
                                  <m:t> </m:t>
                                </m:r>
                                <m:r>
                                  <a:rPr lang="en-US" sz="1100" b="0" i="1" kern="1200">
                                    <a:latin typeface="Cambria Math" panose="02040503050406030204" pitchFamily="18" charset="0"/>
                                  </a:rPr>
                                  <m:t>𝑆𝑖𝑧𝑒</m:t>
                                </m:r>
                                <m:r>
                                  <a:rPr lang="en-US" sz="1100" b="0" i="1" kern="1200">
                                    <a:latin typeface="Cambria Math" panose="02040503050406030204" pitchFamily="18" charset="0"/>
                                  </a:rPr>
                                  <m:t>, </m:t>
                                </m:r>
                                <m:r>
                                  <a:rPr lang="en-US" sz="1100" b="0" i="1" kern="1200">
                                    <a:latin typeface="Cambria Math" panose="02040503050406030204" pitchFamily="18" charset="0"/>
                                  </a:rPr>
                                  <m:t>𝑚𝐿</m:t>
                                </m:r>
                              </m:den>
                            </m:f>
                          </m:e>
                        </m:d>
                      </m:den>
                    </m:f>
                  </m:oMath>
                </m:oMathPara>
              </a14:m>
              <a:endParaRPr lang="en-US" sz="1100" kern="1200"/>
            </a:p>
          </xdr:txBody>
        </xdr:sp>
      </mc:Choice>
      <mc:Fallback xmlns="">
        <xdr:sp macro="" textlink="">
          <xdr:nvSpPr>
            <xdr:cNvPr id="4" name="TextBox 3">
              <a:extLst>
                <a:ext uri="{FF2B5EF4-FFF2-40B4-BE49-F238E27FC236}">
                  <a16:creationId xmlns:a16="http://schemas.microsoft.com/office/drawing/2014/main" id="{593CC0AF-79D1-4B89-A745-F70642660179}"/>
                </a:ext>
              </a:extLst>
            </xdr:cNvPr>
            <xdr:cNvSpPr txBox="1"/>
          </xdr:nvSpPr>
          <xdr:spPr>
            <a:xfrm>
              <a:off x="4546599" y="9965690"/>
              <a:ext cx="2844881" cy="581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kern="1200">
                  <a:latin typeface="Cambria Math" panose="02040503050406030204" pitchFamily="18" charset="0"/>
                </a:rPr>
                <a:t>〖</a:t>
              </a:r>
              <a:r>
                <a:rPr lang="en-US" sz="1100" b="0" i="0" kern="1200">
                  <a:latin typeface="Cambria Math" panose="02040503050406030204" pitchFamily="18" charset="0"/>
                </a:rPr>
                <a:t>𝐵𝑂𝐷〗_5,𝑚𝑔/𝐿=((𝐼𝑛𝑖𝑡𝑖𝑎𝑙 𝐷𝑂,𝑚𝑔/𝐿−𝐹𝑖𝑛𝑎𝑙 𝐷𝑂,𝑚𝑔/𝐿))/(((𝑚𝐿 𝑜𝑓 𝑆𝑎𝑚𝑝𝑙𝑒 𝐴𝑑𝑑𝑒𝑑)/(𝐵𝑜𝑡𝑡𝑙𝑒 𝑆𝑖𝑧𝑒, 𝑚𝐿)) )</a:t>
              </a:r>
              <a:endParaRPr lang="en-US" sz="1100" kern="1200"/>
            </a:p>
          </xdr:txBody>
        </xdr:sp>
      </mc:Fallback>
    </mc:AlternateContent>
    <xdr:clientData/>
  </xdr:oneCellAnchor>
  <xdr:oneCellAnchor>
    <xdr:from>
      <xdr:col>7</xdr:col>
      <xdr:colOff>254000</xdr:colOff>
      <xdr:row>52</xdr:row>
      <xdr:rowOff>16510</xdr:rowOff>
    </xdr:from>
    <xdr:ext cx="4937760" cy="53721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86BF2E01-95B9-4D10-A980-129192C32757}"/>
                </a:ext>
              </a:extLst>
            </xdr:cNvPr>
            <xdr:cNvSpPr txBox="1"/>
          </xdr:nvSpPr>
          <xdr:spPr>
            <a:xfrm>
              <a:off x="4508500" y="9420860"/>
              <a:ext cx="4937760" cy="537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100" b="0" i="1" kern="1200">
                        <a:latin typeface="Cambria Math" panose="02040503050406030204" pitchFamily="18" charset="0"/>
                      </a:rPr>
                      <m:t>𝑆𝑒𝑒𝑑</m:t>
                    </m:r>
                    <m:r>
                      <a:rPr lang="en-US" sz="1100" b="0" i="1" kern="1200">
                        <a:latin typeface="Cambria Math" panose="02040503050406030204" pitchFamily="18" charset="0"/>
                      </a:rPr>
                      <m:t> </m:t>
                    </m:r>
                    <m:r>
                      <a:rPr lang="en-US" sz="1100" b="0" i="1" kern="1200">
                        <a:latin typeface="Cambria Math" panose="02040503050406030204" pitchFamily="18" charset="0"/>
                      </a:rPr>
                      <m:t>𝐶𝑜𝑛𝑡𝑟𝑖𝑏𝑢𝑡𝑖𝑜𝑛</m:t>
                    </m:r>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r>
                      <a:rPr lang="en-US" sz="1100" b="0" i="1" kern="1200">
                        <a:latin typeface="Cambria Math" panose="02040503050406030204" pitchFamily="18" charset="0"/>
                      </a:rPr>
                      <m:t>𝐷𝑂</m:t>
                    </m:r>
                    <m:r>
                      <a:rPr lang="en-US" sz="1100" b="0" i="1" kern="1200">
                        <a:latin typeface="Cambria Math" panose="02040503050406030204" pitchFamily="18" charset="0"/>
                      </a:rPr>
                      <m:t> </m:t>
                    </m:r>
                    <m:r>
                      <a:rPr lang="en-US" sz="1100" b="0" i="1" kern="1200">
                        <a:latin typeface="Cambria Math" panose="02040503050406030204" pitchFamily="18" charset="0"/>
                      </a:rPr>
                      <m:t>𝑝𝑒𝑟</m:t>
                    </m:r>
                    <m:r>
                      <a:rPr lang="en-US" sz="1100" b="0" i="1" kern="1200">
                        <a:latin typeface="Cambria Math" panose="02040503050406030204" pitchFamily="18" charset="0"/>
                      </a:rPr>
                      <m:t> </m:t>
                    </m:r>
                    <m:r>
                      <a:rPr lang="en-US" sz="1100" b="0" i="1" kern="1200">
                        <a:latin typeface="Cambria Math" panose="02040503050406030204" pitchFamily="18" charset="0"/>
                      </a:rPr>
                      <m:t>𝑚𝐿</m:t>
                    </m:r>
                    <m:r>
                      <a:rPr lang="en-US" sz="1100" b="0" i="1" kern="1200">
                        <a:latin typeface="Cambria Math" panose="02040503050406030204" pitchFamily="18" charset="0"/>
                      </a:rPr>
                      <m:t> </m:t>
                    </m:r>
                    <m:r>
                      <a:rPr lang="en-US" sz="1100" b="0" i="1" kern="1200">
                        <a:latin typeface="Cambria Math" panose="02040503050406030204" pitchFamily="18" charset="0"/>
                      </a:rPr>
                      <m:t>𝑜𝑓</m:t>
                    </m:r>
                    <m:r>
                      <a:rPr lang="en-US" sz="1100" b="0" i="1" kern="1200">
                        <a:latin typeface="Cambria Math" panose="02040503050406030204" pitchFamily="18" charset="0"/>
                      </a:rPr>
                      <m:t> </m:t>
                    </m:r>
                    <m:r>
                      <a:rPr lang="en-US" sz="1100" b="0" i="1" kern="1200">
                        <a:latin typeface="Cambria Math" panose="02040503050406030204" pitchFamily="18" charset="0"/>
                      </a:rPr>
                      <m:t>𝑆𝑒𝑒𝑑</m:t>
                    </m:r>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d>
                          <m:dPr>
                            <m:ctrlPr>
                              <a:rPr lang="en-US" sz="1100" b="0" i="1" kern="1200">
                                <a:latin typeface="Cambria Math" panose="02040503050406030204" pitchFamily="18" charset="0"/>
                              </a:rPr>
                            </m:ctrlPr>
                          </m:dPr>
                          <m:e>
                            <m:r>
                              <a:rPr lang="en-US" sz="1100" b="0" i="1" kern="1200">
                                <a:latin typeface="Cambria Math" panose="02040503050406030204" pitchFamily="18" charset="0"/>
                              </a:rPr>
                              <m:t>𝐼𝑛𝑖𝑡𝑖𝑎𝑙</m:t>
                            </m:r>
                            <m:r>
                              <a:rPr lang="en-US" sz="1100" b="0" i="1" kern="1200">
                                <a:latin typeface="Cambria Math" panose="02040503050406030204" pitchFamily="18" charset="0"/>
                              </a:rPr>
                              <m:t> </m:t>
                            </m:r>
                            <m:r>
                              <a:rPr lang="en-US" sz="1100" b="0" i="1" kern="1200">
                                <a:latin typeface="Cambria Math" panose="02040503050406030204" pitchFamily="18" charset="0"/>
                              </a:rPr>
                              <m:t>𝐷𝑂</m:t>
                            </m:r>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r>
                              <a:rPr lang="en-US" sz="1100" b="0" i="1" kern="1200">
                                <a:latin typeface="Cambria Math" panose="02040503050406030204" pitchFamily="18" charset="0"/>
                              </a:rPr>
                              <m:t>−</m:t>
                            </m:r>
                            <m:r>
                              <a:rPr lang="en-US" sz="1100" b="0" i="1" kern="1200">
                                <a:latin typeface="Cambria Math" panose="02040503050406030204" pitchFamily="18" charset="0"/>
                              </a:rPr>
                              <m:t>𝐹𝑖𝑛𝑎𝑙</m:t>
                            </m:r>
                            <m:r>
                              <a:rPr lang="en-US" sz="1100" b="0" i="1" kern="1200">
                                <a:latin typeface="Cambria Math" panose="02040503050406030204" pitchFamily="18" charset="0"/>
                              </a:rPr>
                              <m:t> </m:t>
                            </m:r>
                            <m:r>
                              <a:rPr lang="en-US" sz="1100" b="0" i="1" kern="1200">
                                <a:latin typeface="Cambria Math" panose="02040503050406030204" pitchFamily="18" charset="0"/>
                              </a:rPr>
                              <m:t>𝐷𝑂</m:t>
                            </m:r>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𝑚𝑔</m:t>
                                </m:r>
                              </m:num>
                              <m:den>
                                <m:r>
                                  <a:rPr lang="en-US" sz="1100" b="0" i="1" kern="1200">
                                    <a:latin typeface="Cambria Math" panose="02040503050406030204" pitchFamily="18" charset="0"/>
                                  </a:rPr>
                                  <m:t>𝐿</m:t>
                                </m:r>
                              </m:den>
                            </m:f>
                          </m:e>
                        </m:d>
                      </m:num>
                      <m:den>
                        <m:r>
                          <a:rPr lang="en-US" sz="1100" b="0" i="1" kern="1200">
                            <a:latin typeface="Cambria Math" panose="02040503050406030204" pitchFamily="18" charset="0"/>
                          </a:rPr>
                          <m:t>𝑚𝐿</m:t>
                        </m:r>
                        <m:r>
                          <a:rPr lang="en-US" sz="1100" b="0" i="1" kern="1200">
                            <a:latin typeface="Cambria Math" panose="02040503050406030204" pitchFamily="18" charset="0"/>
                          </a:rPr>
                          <m:t> </m:t>
                        </m:r>
                        <m:r>
                          <a:rPr lang="en-US" sz="1100" b="0" i="1" kern="1200">
                            <a:latin typeface="Cambria Math" panose="02040503050406030204" pitchFamily="18" charset="0"/>
                          </a:rPr>
                          <m:t>𝑜𝑓</m:t>
                        </m:r>
                        <m:r>
                          <a:rPr lang="en-US" sz="1100" b="0" i="1" kern="1200">
                            <a:latin typeface="Cambria Math" panose="02040503050406030204" pitchFamily="18" charset="0"/>
                          </a:rPr>
                          <m:t> </m:t>
                        </m:r>
                        <m:r>
                          <a:rPr lang="en-US" sz="1100" b="0" i="1" kern="1200">
                            <a:latin typeface="Cambria Math" panose="02040503050406030204" pitchFamily="18" charset="0"/>
                          </a:rPr>
                          <m:t>𝑆𝑒𝑒𝑑</m:t>
                        </m:r>
                        <m:r>
                          <a:rPr lang="en-US" sz="1100" b="0" i="1" kern="1200">
                            <a:latin typeface="Cambria Math" panose="02040503050406030204" pitchFamily="18" charset="0"/>
                          </a:rPr>
                          <m:t> </m:t>
                        </m:r>
                        <m:r>
                          <a:rPr lang="en-US" sz="1100" b="0" i="1" kern="1200">
                            <a:latin typeface="Cambria Math" panose="02040503050406030204" pitchFamily="18" charset="0"/>
                          </a:rPr>
                          <m:t>𝐴𝑑𝑑𝑒𝑑</m:t>
                        </m:r>
                      </m:den>
                    </m:f>
                  </m:oMath>
                </m:oMathPara>
              </a14:m>
              <a:endParaRPr lang="en-US" sz="1100" kern="1200"/>
            </a:p>
          </xdr:txBody>
        </xdr:sp>
      </mc:Choice>
      <mc:Fallback xmlns="">
        <xdr:sp macro="" textlink="">
          <xdr:nvSpPr>
            <xdr:cNvPr id="5" name="TextBox 4">
              <a:extLst>
                <a:ext uri="{FF2B5EF4-FFF2-40B4-BE49-F238E27FC236}">
                  <a16:creationId xmlns:a16="http://schemas.microsoft.com/office/drawing/2014/main" id="{86BF2E01-95B9-4D10-A980-129192C32757}"/>
                </a:ext>
              </a:extLst>
            </xdr:cNvPr>
            <xdr:cNvSpPr txBox="1"/>
          </xdr:nvSpPr>
          <xdr:spPr>
            <a:xfrm>
              <a:off x="4508500" y="9420860"/>
              <a:ext cx="4937760" cy="537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kern="1200">
                  <a:latin typeface="Cambria Math" panose="02040503050406030204" pitchFamily="18" charset="0"/>
                </a:rPr>
                <a:t>𝑆𝑒𝑒𝑑 𝐶𝑜𝑛𝑡𝑟𝑖𝑏𝑢𝑡𝑖𝑜𝑛,𝑚𝑔/𝐿 𝐷𝑂 𝑝𝑒𝑟 𝑚𝐿 𝑜𝑓 𝑆𝑒𝑒𝑑=((𝐼𝑛𝑖𝑡𝑖𝑎𝑙 𝐷𝑂,𝑚𝑔/𝐿−𝐹𝑖𝑛𝑎𝑙 𝐷𝑂,𝑚𝑔/𝐿))/(𝑚𝐿 𝑜𝑓 𝑆𝑒𝑒𝑑 𝐴𝑑𝑑𝑒𝑑)</a:t>
              </a:r>
              <a:endParaRPr lang="en-US" sz="1100" kern="1200"/>
            </a:p>
          </xdr:txBody>
        </xdr:sp>
      </mc:Fallback>
    </mc:AlternateContent>
    <xdr:clientData/>
  </xdr:oneCellAnchor>
  <xdr:oneCellAnchor>
    <xdr:from>
      <xdr:col>7</xdr:col>
      <xdr:colOff>299719</xdr:colOff>
      <xdr:row>50</xdr:row>
      <xdr:rowOff>31750</xdr:rowOff>
    </xdr:from>
    <xdr:ext cx="2338974" cy="32028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D2CE9396-9FDF-4977-AD64-23F44AE69C2D}"/>
                </a:ext>
              </a:extLst>
            </xdr:cNvPr>
            <xdr:cNvSpPr txBox="1"/>
          </xdr:nvSpPr>
          <xdr:spPr>
            <a:xfrm>
              <a:off x="4554219" y="9093200"/>
              <a:ext cx="2338974" cy="320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kern="1200">
                        <a:latin typeface="Cambria Math" panose="02040503050406030204" pitchFamily="18" charset="0"/>
                      </a:rPr>
                      <m:t>𝐷𝑖𝑙𝑢𝑡𝑖𝑜𝑛</m:t>
                    </m:r>
                    <m:r>
                      <a:rPr lang="en-US" sz="1100" b="0" i="1" kern="1200">
                        <a:latin typeface="Cambria Math" panose="02040503050406030204" pitchFamily="18" charset="0"/>
                      </a:rPr>
                      <m:t> </m:t>
                    </m:r>
                    <m:r>
                      <a:rPr lang="en-US" sz="1100" b="0" i="1" kern="1200">
                        <a:latin typeface="Cambria Math" panose="02040503050406030204" pitchFamily="18" charset="0"/>
                      </a:rPr>
                      <m:t>𝐹𝑎𝑐𝑡𝑜𝑟</m:t>
                    </m:r>
                    <m:r>
                      <a:rPr lang="en-US" sz="1100" b="0" i="1" kern="1200">
                        <a:latin typeface="Cambria Math" panose="02040503050406030204" pitchFamily="18" charset="0"/>
                      </a:rPr>
                      <m:t>=</m:t>
                    </m:r>
                    <m:f>
                      <m:fPr>
                        <m:ctrlPr>
                          <a:rPr lang="en-US" sz="1100" b="0" i="1" kern="1200">
                            <a:latin typeface="Cambria Math" panose="02040503050406030204" pitchFamily="18" charset="0"/>
                          </a:rPr>
                        </m:ctrlPr>
                      </m:fPr>
                      <m:num>
                        <m:r>
                          <a:rPr lang="en-US" sz="1100" b="0" i="1" kern="1200">
                            <a:latin typeface="Cambria Math" panose="02040503050406030204" pitchFamily="18" charset="0"/>
                          </a:rPr>
                          <m:t>𝑚𝐿</m:t>
                        </m:r>
                        <m:r>
                          <a:rPr lang="en-US" sz="1100" b="0" i="1" kern="1200">
                            <a:latin typeface="Cambria Math" panose="02040503050406030204" pitchFamily="18" charset="0"/>
                          </a:rPr>
                          <m:t> </m:t>
                        </m:r>
                        <m:r>
                          <a:rPr lang="en-US" sz="1100" b="0" i="1" kern="1200">
                            <a:latin typeface="Cambria Math" panose="02040503050406030204" pitchFamily="18" charset="0"/>
                          </a:rPr>
                          <m:t>𝑆𝑎𝑚𝑝𝑙𝑒</m:t>
                        </m:r>
                        <m:r>
                          <a:rPr lang="en-US" sz="1100" b="0" i="1" kern="1200">
                            <a:latin typeface="Cambria Math" panose="02040503050406030204" pitchFamily="18" charset="0"/>
                          </a:rPr>
                          <m:t> </m:t>
                        </m:r>
                        <m:r>
                          <a:rPr lang="en-US" sz="1100" b="0" i="1" kern="1200">
                            <a:latin typeface="Cambria Math" panose="02040503050406030204" pitchFamily="18" charset="0"/>
                          </a:rPr>
                          <m:t>𝐴𝑑𝑑𝑒𝑑</m:t>
                        </m:r>
                      </m:num>
                      <m:den>
                        <m:r>
                          <a:rPr lang="en-US" sz="1100" b="0" i="1" kern="1200">
                            <a:latin typeface="Cambria Math" panose="02040503050406030204" pitchFamily="18" charset="0"/>
                          </a:rPr>
                          <m:t>𝑚𝐿</m:t>
                        </m:r>
                        <m:r>
                          <a:rPr lang="en-US" sz="1100" b="0" i="1" kern="1200">
                            <a:latin typeface="Cambria Math" panose="02040503050406030204" pitchFamily="18" charset="0"/>
                          </a:rPr>
                          <m:t> </m:t>
                        </m:r>
                        <m:r>
                          <a:rPr lang="en-US" sz="1100" b="0" i="1" kern="1200">
                            <a:latin typeface="Cambria Math" panose="02040503050406030204" pitchFamily="18" charset="0"/>
                          </a:rPr>
                          <m:t>𝐵𝑜𝑡𝑡𝑙𝑒</m:t>
                        </m:r>
                        <m:r>
                          <a:rPr lang="en-US" sz="1100" b="0" i="1" kern="1200">
                            <a:latin typeface="Cambria Math" panose="02040503050406030204" pitchFamily="18" charset="0"/>
                          </a:rPr>
                          <m:t> </m:t>
                        </m:r>
                        <m:r>
                          <a:rPr lang="en-US" sz="1100" b="0" i="1" kern="1200">
                            <a:latin typeface="Cambria Math" panose="02040503050406030204" pitchFamily="18" charset="0"/>
                          </a:rPr>
                          <m:t>𝑆𝑖𝑧𝑒</m:t>
                        </m:r>
                      </m:den>
                    </m:f>
                  </m:oMath>
                </m:oMathPara>
              </a14:m>
              <a:endParaRPr lang="en-US" sz="1100" kern="1200"/>
            </a:p>
          </xdr:txBody>
        </xdr:sp>
      </mc:Choice>
      <mc:Fallback xmlns="">
        <xdr:sp macro="" textlink="">
          <xdr:nvSpPr>
            <xdr:cNvPr id="6" name="TextBox 5">
              <a:extLst>
                <a:ext uri="{FF2B5EF4-FFF2-40B4-BE49-F238E27FC236}">
                  <a16:creationId xmlns:a16="http://schemas.microsoft.com/office/drawing/2014/main" id="{D2CE9396-9FDF-4977-AD64-23F44AE69C2D}"/>
                </a:ext>
              </a:extLst>
            </xdr:cNvPr>
            <xdr:cNvSpPr txBox="1"/>
          </xdr:nvSpPr>
          <xdr:spPr>
            <a:xfrm>
              <a:off x="4554219" y="9093200"/>
              <a:ext cx="2338974" cy="320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kern="1200">
                  <a:latin typeface="Cambria Math" panose="02040503050406030204" pitchFamily="18" charset="0"/>
                </a:rPr>
                <a:t>𝐷𝑖𝑙𝑢𝑡𝑖𝑜𝑛 𝐹𝑎𝑐𝑡𝑜𝑟=(𝑚𝐿 𝑆𝑎𝑚𝑝𝑙𝑒 𝐴𝑑𝑑𝑒𝑑)/(𝑚𝐿 𝐵𝑜𝑡𝑡𝑙𝑒 𝑆𝑖𝑧𝑒)</a:t>
              </a:r>
              <a:endParaRPr lang="en-US" sz="1100" kern="12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51"/>
  <sheetViews>
    <sheetView tabSelected="1" zoomScale="125" zoomScaleNormal="125" workbookViewId="0">
      <selection activeCell="K3" sqref="K3"/>
    </sheetView>
  </sheetViews>
  <sheetFormatPr defaultColWidth="9.140625" defaultRowHeight="13.5" x14ac:dyDescent="0.3"/>
  <cols>
    <col min="1" max="1" width="3" style="1" customWidth="1"/>
    <col min="2" max="2" width="20.140625" style="1" customWidth="1"/>
    <col min="3" max="3" width="5.140625" style="1" bestFit="1" customWidth="1"/>
    <col min="4" max="9" width="8.85546875" style="1" customWidth="1"/>
    <col min="10" max="10" width="9.140625" style="1" customWidth="1"/>
    <col min="11" max="11" width="11.28515625" style="1" customWidth="1"/>
    <col min="12" max="12" width="13.7109375" style="1" customWidth="1"/>
    <col min="13" max="13" width="20" style="1" hidden="1" customWidth="1"/>
    <col min="14" max="16" width="8.85546875" style="1" customWidth="1"/>
    <col min="17" max="17" width="12.5703125" style="1" customWidth="1"/>
    <col min="18" max="18" width="29.42578125" style="1" customWidth="1"/>
    <col min="19" max="19" width="6.42578125" style="1" customWidth="1"/>
    <col min="20" max="16384" width="9.140625" style="1"/>
  </cols>
  <sheetData>
    <row r="1" spans="1:23" ht="14.25" customHeight="1" thickBot="1" x14ac:dyDescent="0.35">
      <c r="A1" s="6" t="s">
        <v>20</v>
      </c>
      <c r="B1" s="23"/>
      <c r="C1" s="8"/>
      <c r="D1" s="4"/>
      <c r="E1" s="7"/>
      <c r="F1" s="25" t="s">
        <v>19</v>
      </c>
      <c r="G1" s="25" t="s">
        <v>17</v>
      </c>
      <c r="H1" s="25" t="s">
        <v>36</v>
      </c>
      <c r="I1" s="25" t="s">
        <v>18</v>
      </c>
      <c r="J1" s="25"/>
      <c r="K1" s="25"/>
      <c r="L1" s="25"/>
      <c r="M1" s="25"/>
      <c r="N1" s="25" t="s">
        <v>75</v>
      </c>
      <c r="O1" s="25" t="s">
        <v>21</v>
      </c>
      <c r="P1" s="25"/>
    </row>
    <row r="2" spans="1:23" ht="14.25" customHeight="1" x14ac:dyDescent="0.3">
      <c r="A2" s="217" t="s">
        <v>44</v>
      </c>
      <c r="B2" s="203"/>
      <c r="C2" s="203"/>
      <c r="D2" s="203"/>
      <c r="E2" s="21" t="s">
        <v>24</v>
      </c>
      <c r="F2" s="11">
        <v>45545</v>
      </c>
      <c r="G2" s="12">
        <v>0.47916666666666669</v>
      </c>
      <c r="H2" s="12"/>
      <c r="I2" s="15"/>
      <c r="J2" s="90"/>
      <c r="K2" s="90"/>
      <c r="L2" s="91"/>
      <c r="M2" s="91"/>
      <c r="N2" s="16"/>
      <c r="O2" s="31"/>
      <c r="P2" s="183"/>
    </row>
    <row r="3" spans="1:23" ht="14.25" customHeight="1" thickBot="1" x14ac:dyDescent="0.35">
      <c r="A3" s="216" t="s">
        <v>48</v>
      </c>
      <c r="B3" s="203"/>
      <c r="C3" s="203"/>
      <c r="D3" s="203"/>
      <c r="E3" s="21" t="s">
        <v>25</v>
      </c>
      <c r="F3" s="10">
        <f>F2+5</f>
        <v>45550</v>
      </c>
      <c r="G3" s="13">
        <v>9.0277777777777776E-2</v>
      </c>
      <c r="H3" s="24"/>
      <c r="I3" s="14"/>
      <c r="J3" s="90"/>
      <c r="K3" s="90"/>
      <c r="L3" s="91"/>
      <c r="M3" s="91"/>
      <c r="N3" s="17"/>
      <c r="O3" s="92"/>
      <c r="P3" s="184"/>
    </row>
    <row r="4" spans="1:23" ht="14.25" customHeight="1" x14ac:dyDescent="0.3">
      <c r="A4" s="218" t="s">
        <v>34</v>
      </c>
      <c r="B4" s="219"/>
      <c r="C4" s="219"/>
      <c r="D4" s="219"/>
      <c r="E4" s="20"/>
      <c r="F4" s="18"/>
    </row>
    <row r="5" spans="1:23" ht="14.25" customHeight="1" thickBot="1" x14ac:dyDescent="0.35">
      <c r="A5" s="218" t="s">
        <v>37</v>
      </c>
      <c r="B5" s="219"/>
      <c r="C5" s="219"/>
      <c r="D5" s="219"/>
      <c r="E5" s="20"/>
      <c r="F5" s="101" t="s">
        <v>54</v>
      </c>
      <c r="G5" s="101"/>
      <c r="H5" s="101"/>
      <c r="I5" s="101"/>
      <c r="J5" s="101"/>
      <c r="K5" s="101"/>
      <c r="L5" s="101"/>
      <c r="M5" s="101"/>
      <c r="N5" s="101"/>
      <c r="O5" s="101"/>
      <c r="P5" s="101"/>
    </row>
    <row r="6" spans="1:23" ht="14.25" customHeight="1" thickBot="1" x14ac:dyDescent="0.35">
      <c r="A6" s="218" t="s">
        <v>35</v>
      </c>
      <c r="B6" s="219"/>
      <c r="C6" s="219"/>
      <c r="D6" s="219"/>
      <c r="E6" s="19"/>
      <c r="F6" s="19" t="s">
        <v>30</v>
      </c>
      <c r="G6" s="94">
        <f>SeedStrengthAverage</f>
        <v>0.24144444444444446</v>
      </c>
      <c r="H6" s="19" t="s">
        <v>32</v>
      </c>
      <c r="I6" s="9" t="s">
        <v>33</v>
      </c>
      <c r="J6" s="94">
        <f>IF(Seed_BOD_per_mL="ERROR",Seed_BOD_per_mL,IF(Seed_BOD_per_mL="","",INTERCEPT(I17:I19,D17:D19)))</f>
        <v>8.3333333333333481E-2</v>
      </c>
      <c r="K6"/>
      <c r="L6" s="9"/>
      <c r="M6" s="9"/>
      <c r="O6" s="26"/>
      <c r="P6" s="26"/>
    </row>
    <row r="7" spans="1:23" ht="14.25" customHeight="1" thickBot="1" x14ac:dyDescent="0.35">
      <c r="A7" s="202" t="str">
        <f>IF(OR(mgL_Seed_Depletion_Expected&lt;0.6,mgL_Seed_Depletion_Expected&gt;1),"Check seed volume.  Too much or not enough depletion."," ")</f>
        <v xml:space="preserve"> </v>
      </c>
      <c r="B7" s="203"/>
      <c r="C7" s="203"/>
      <c r="D7" s="203"/>
      <c r="E7" s="100">
        <v>4</v>
      </c>
      <c r="F7" s="19" t="s">
        <v>11</v>
      </c>
      <c r="G7" s="94">
        <f>IF(ISNUMBER(mL_Seed_Used_per_Sample),Seed_BOD_per_mL*mL_Seed_Used_per_Sample," ")</f>
        <v>0.96577777777777785</v>
      </c>
      <c r="H7" s="93" t="s">
        <v>72</v>
      </c>
      <c r="I7" s="9"/>
      <c r="J7"/>
      <c r="K7"/>
      <c r="L7" s="9"/>
      <c r="M7" s="9"/>
      <c r="N7" s="7"/>
      <c r="O7" s="26"/>
      <c r="P7" s="26"/>
    </row>
    <row r="8" spans="1:23" ht="8.25" customHeight="1" thickBot="1" x14ac:dyDescent="0.35">
      <c r="A8" s="5"/>
      <c r="B8" s="5"/>
      <c r="C8" s="3"/>
      <c r="D8" s="3"/>
      <c r="E8" s="3"/>
      <c r="F8" s="3"/>
      <c r="G8" s="3"/>
      <c r="H8" s="3"/>
      <c r="I8" s="3"/>
      <c r="J8" s="3"/>
      <c r="K8" s="3"/>
      <c r="L8" s="2"/>
      <c r="M8" s="2"/>
      <c r="N8" s="2"/>
      <c r="O8" s="2"/>
      <c r="P8" s="2"/>
    </row>
    <row r="9" spans="1:23" ht="14.25" customHeight="1" thickBot="1" x14ac:dyDescent="0.35">
      <c r="A9"/>
      <c r="B9" s="204" t="s">
        <v>27</v>
      </c>
      <c r="C9" s="206"/>
      <c r="D9" s="204" t="s">
        <v>7</v>
      </c>
      <c r="E9" s="206"/>
      <c r="F9" s="205"/>
      <c r="G9" s="204" t="s">
        <v>8</v>
      </c>
      <c r="H9" s="206"/>
      <c r="I9" s="205"/>
      <c r="J9" s="22"/>
      <c r="K9" s="22"/>
      <c r="L9" s="22"/>
      <c r="M9" s="22"/>
      <c r="N9" s="204" t="s">
        <v>9</v>
      </c>
      <c r="O9" s="205"/>
      <c r="P9" s="185" t="s">
        <v>83</v>
      </c>
    </row>
    <row r="10" spans="1:23" ht="15" customHeight="1" x14ac:dyDescent="0.3">
      <c r="A10"/>
      <c r="B10" s="212" t="s">
        <v>52</v>
      </c>
      <c r="C10" s="41" t="s">
        <v>10</v>
      </c>
      <c r="D10" s="149" t="s">
        <v>22</v>
      </c>
      <c r="E10" s="75" t="s">
        <v>31</v>
      </c>
      <c r="F10" s="42" t="s">
        <v>11</v>
      </c>
      <c r="G10" s="149" t="s">
        <v>0</v>
      </c>
      <c r="H10" s="39" t="s">
        <v>1</v>
      </c>
      <c r="I10" s="166" t="s">
        <v>2</v>
      </c>
      <c r="J10" s="149" t="s">
        <v>4</v>
      </c>
      <c r="K10" s="40" t="s">
        <v>57</v>
      </c>
      <c r="L10" s="41" t="s">
        <v>5</v>
      </c>
      <c r="M10" s="127" t="s">
        <v>79</v>
      </c>
      <c r="N10" s="39" t="s">
        <v>12</v>
      </c>
      <c r="O10" s="42" t="s">
        <v>13</v>
      </c>
      <c r="P10" s="186"/>
      <c r="R10" s="1" t="s">
        <v>67</v>
      </c>
      <c r="W10" s="98" t="str">
        <f>IF(O12&gt;0.2,"Seed blank failed. Do not report data."," ")</f>
        <v xml:space="preserve"> </v>
      </c>
    </row>
    <row r="11" spans="1:23" ht="15" customHeight="1" thickBot="1" x14ac:dyDescent="0.35">
      <c r="A11"/>
      <c r="B11" s="213"/>
      <c r="C11" s="43" t="s">
        <v>14</v>
      </c>
      <c r="D11" s="150" t="s">
        <v>23</v>
      </c>
      <c r="E11" s="76" t="s">
        <v>29</v>
      </c>
      <c r="F11" s="151" t="s">
        <v>38</v>
      </c>
      <c r="G11" s="150" t="s">
        <v>39</v>
      </c>
      <c r="H11" s="27" t="s">
        <v>40</v>
      </c>
      <c r="I11" s="167" t="s">
        <v>41</v>
      </c>
      <c r="J11" s="150" t="s">
        <v>56</v>
      </c>
      <c r="K11" s="28" t="s">
        <v>58</v>
      </c>
      <c r="L11" s="43" t="s">
        <v>59</v>
      </c>
      <c r="M11" s="128" t="s">
        <v>80</v>
      </c>
      <c r="N11" s="29" t="s">
        <v>42</v>
      </c>
      <c r="O11" s="30" t="s">
        <v>43</v>
      </c>
      <c r="P11" s="187"/>
      <c r="W11" s="99" t="str">
        <f>IF(OR(GGA1_Result&lt;168,GGA1_Result&gt;228),"A GGA Standard is out of limits."," ")</f>
        <v xml:space="preserve"> </v>
      </c>
    </row>
    <row r="12" spans="1:23" s="89" customFormat="1" ht="15.75" customHeight="1" x14ac:dyDescent="0.3">
      <c r="A12"/>
      <c r="B12" s="177" t="s">
        <v>3</v>
      </c>
      <c r="C12" s="144" t="s">
        <v>84</v>
      </c>
      <c r="D12" s="152">
        <v>300</v>
      </c>
      <c r="E12" s="198">
        <f>IF(ISNUMBER(Blank1_Volume),Blank1_Volume/300," ")</f>
        <v>1</v>
      </c>
      <c r="F12" s="192">
        <v>0</v>
      </c>
      <c r="G12" s="169">
        <v>7.52</v>
      </c>
      <c r="H12" s="50">
        <v>7.51</v>
      </c>
      <c r="I12" s="174">
        <f>IF(OR(Blank1_DOi="",Blank1_DOf=""),"",Blank1_DOi-Blank1_DOf)</f>
        <v>9.9999999999997868E-3</v>
      </c>
      <c r="J12" s="181" t="str">
        <f>IF(Blank1_Depletion&lt;0.2,"Yes","No")</f>
        <v>Yes</v>
      </c>
      <c r="K12" s="178" t="str">
        <f>IF(Blank1_Volume&gt;=270,"Yes","No")</f>
        <v>Yes</v>
      </c>
      <c r="L12" s="51"/>
      <c r="M12" s="130">
        <f>IF(OR(Blank1_Volume="",Blank1_Depletion="",Blank1_DOf=""),"",Blank1_Depletion)</f>
        <v>9.9999999999997868E-3</v>
      </c>
      <c r="N12" s="52">
        <f>IFERROR(IF(OR(Blank1_Volume="",Blank1_Depletion="",Blank1_DOf=""),"",IF(Blank1_DepletionLessThan0.2="No","Reject",300/Blank1_Volume*(Blank1_Depletion-(Blank1_Seed_Volume_Added*Seed_BOD_per_mL)))),300/Blank1_Volume*Blank1_Depletion)</f>
        <v>9.9999999999997868E-3</v>
      </c>
      <c r="O12" s="77">
        <f>N12</f>
        <v>9.9999999999997868E-3</v>
      </c>
      <c r="P12" s="188"/>
      <c r="Q12" s="1"/>
      <c r="R12" s="89" t="s">
        <v>71</v>
      </c>
      <c r="W12" s="98" t="str">
        <f>IF(OR(GGA3_Result&lt;168,GGA3_Result&gt;228),"A GGA Standard is out of limits."," ")</f>
        <v xml:space="preserve"> </v>
      </c>
    </row>
    <row r="13" spans="1:23" ht="15.75" customHeight="1" thickBot="1" x14ac:dyDescent="0.35">
      <c r="A13"/>
      <c r="B13" s="179" t="s">
        <v>3</v>
      </c>
      <c r="C13" s="146" t="s">
        <v>85</v>
      </c>
      <c r="D13" s="156">
        <v>300</v>
      </c>
      <c r="E13" s="199">
        <f>IF(ISNUMBER(Blank1_Volume),Blank1_Volume/300," ")</f>
        <v>1</v>
      </c>
      <c r="F13" s="193">
        <v>0</v>
      </c>
      <c r="G13" s="172">
        <v>7.5</v>
      </c>
      <c r="H13" s="56">
        <v>7.28</v>
      </c>
      <c r="I13" s="173">
        <f>IF(OR(Blank2_DOi="",Blank2_DOf=""),"",Blank2_DOi-Blank2_DOf)</f>
        <v>0.21999999999999975</v>
      </c>
      <c r="J13" s="182" t="str">
        <f>IF(Blank2_Depletion&lt;0.2,"Yes","No")</f>
        <v>No</v>
      </c>
      <c r="K13" s="180" t="str">
        <f>IF(Blank2_Volume&gt;=270,"Yes","No")</f>
        <v>Yes</v>
      </c>
      <c r="L13" s="57"/>
      <c r="M13" s="131">
        <f>IF(OR(Blank2_Volume="",Blank2_Depletion="",Blank2_DOf=""),"",Blank2_Depletion)</f>
        <v>0.21999999999999975</v>
      </c>
      <c r="N13" s="58" cm="1">
        <f t="array" ref="N13">IFERROR(IF(OR(Blank2_Volume="",Blank2_Depletion="",Blank2_DOf=""),"",IF(Blank2_DepletionLessThan0.2="No","Reject",300/Blank2_Volume*(Blank2_Depletion-(Blank2_Seed_Volume_Added*Seed_BOD_per_mL)))),300/Blank2_Volume*Blank2_Depletion)</f>
        <v>0.21999999999999975</v>
      </c>
      <c r="O13" s="78">
        <f>N13</f>
        <v>0.21999999999999975</v>
      </c>
      <c r="P13" s="188">
        <f>AVERAGE(O12:O13)</f>
        <v>0.11499999999999977</v>
      </c>
      <c r="W13" s="143"/>
    </row>
    <row r="14" spans="1:23" ht="15.75" customHeight="1" x14ac:dyDescent="0.3">
      <c r="A14" s="207" t="s">
        <v>6</v>
      </c>
      <c r="B14" s="47" t="s">
        <v>47</v>
      </c>
      <c r="C14" s="144" t="s">
        <v>86</v>
      </c>
      <c r="D14" s="152">
        <v>4</v>
      </c>
      <c r="E14" s="200">
        <f>IF(ISNUMBER(GGA1_Volume),GGA1_Volume/300," ")</f>
        <v>1.3333333333333334E-2</v>
      </c>
      <c r="F14" s="153">
        <v>4</v>
      </c>
      <c r="G14" s="169">
        <v>7.49</v>
      </c>
      <c r="H14" s="50">
        <v>3.7</v>
      </c>
      <c r="I14" s="168">
        <f>IF(OR(GGA1_DOi="",GGA1_DOf=""),"",GGA1_DOi-GGA1_DOf)</f>
        <v>3.79</v>
      </c>
      <c r="J14" s="162" t="str">
        <f>IF(OR(GGA1_DOf&lt;1,GGA1_Depletion&lt;2),"No",IF(AND(Seed_BOD_per_mL="ERROR",GGA1_Seed_Volume&lt;&gt;""),"No","Yes"))</f>
        <v>Yes</v>
      </c>
      <c r="K14" s="139" t="str">
        <f>IF(GGA1_Volume&gt;=270,"Yes","No")</f>
        <v>No</v>
      </c>
      <c r="L14" s="44"/>
      <c r="M14" s="129">
        <f>300/GGA1_Volume*(GGA1_Depletion-(GGA1_Seed_Volume*Seed_BOD_per_mL))</f>
        <v>211.81666666666666</v>
      </c>
      <c r="N14" s="45">
        <f>IFERROR(IF(OR(GGA1_Volume="",GGA1_Depletion="",GGA1_DOf=""),"",IF(GGA1DepletionOK="No","Reject",300/GGA1_Volume*(GGA1_Depletion-(GGA1_Seed_Volume*Seed_BOD_per_mL)))),300/GGA1_Volume*GGA1_Depletion)</f>
        <v>211.81666666666666</v>
      </c>
      <c r="O14" s="46">
        <f>IF(N14="","",N14)</f>
        <v>211.81666666666666</v>
      </c>
      <c r="P14" s="188"/>
      <c r="R14" s="1" t="s">
        <v>60</v>
      </c>
    </row>
    <row r="15" spans="1:23" ht="15.75" customHeight="1" x14ac:dyDescent="0.3">
      <c r="A15" s="211"/>
      <c r="B15" s="137" t="s">
        <v>46</v>
      </c>
      <c r="C15" s="145" t="s">
        <v>87</v>
      </c>
      <c r="D15" s="154">
        <v>6</v>
      </c>
      <c r="E15" s="197">
        <f>IF(ISNUMBER(GGA2_Volume),GGA2_Volume/300," ")</f>
        <v>0.02</v>
      </c>
      <c r="F15" s="155">
        <v>4</v>
      </c>
      <c r="G15" s="170">
        <v>7.48</v>
      </c>
      <c r="H15" s="138">
        <v>2.96</v>
      </c>
      <c r="I15" s="171">
        <f>IF(OR(GGA2_DOi="",GGA2_DOf=""),"",GGA2_DOi-GGA2_DOf)</f>
        <v>4.5200000000000005</v>
      </c>
      <c r="J15" s="163" t="str">
        <f>IF(OR(GGA2_DOf&lt;1,GGA2_Depletion&lt;2),"No",IF(AND(Seed_BOD_per_mL="ERROR",GGA2_Seed_Volume&lt;&gt;""),"No","Yes"))</f>
        <v>Yes</v>
      </c>
      <c r="K15" s="73" t="str">
        <f>IF(GGA2_Volume&gt;=270,"Yes","No")</f>
        <v>No</v>
      </c>
      <c r="L15" s="65"/>
      <c r="M15" s="140">
        <f>300/GGA2_Volume*(GGA2_Depletion-(GGA2_Seed_Volume*Seed_BOD_per_mL))</f>
        <v>177.71111111111114</v>
      </c>
      <c r="N15" s="141" cm="1">
        <f t="array" ref="N15">IFERROR(IF(OR(GGA2_Volume="",GGA2_Depletion="",GGA2_DOf=""),"",IF(GGA2DepletionOK="No","Reject",300/GGA2_Volume*(GGA2_Depletion-(GGA2_Seed_Volume*Seed_BOD_per_mL)))),300/GGA2_Volume*GGA2_Depletion)</f>
        <v>226.00000000000003</v>
      </c>
      <c r="O15" s="142">
        <f>IF(N15="","",N15)</f>
        <v>226.00000000000003</v>
      </c>
      <c r="P15" s="188"/>
      <c r="R15" s="89" t="s">
        <v>82</v>
      </c>
    </row>
    <row r="16" spans="1:23" s="89" customFormat="1" ht="15.75" customHeight="1" thickBot="1" x14ac:dyDescent="0.35">
      <c r="A16" s="210"/>
      <c r="B16" s="53" t="s">
        <v>81</v>
      </c>
      <c r="C16" s="146" t="s">
        <v>88</v>
      </c>
      <c r="D16" s="156">
        <v>8</v>
      </c>
      <c r="E16" s="199">
        <f>IF(ISNUMBER(GGA3_Volume),GGA3_Volume/300," ")</f>
        <v>2.6666666666666668E-2</v>
      </c>
      <c r="F16" s="157">
        <v>4</v>
      </c>
      <c r="G16" s="172">
        <v>7.51</v>
      </c>
      <c r="H16" s="56">
        <v>1.42</v>
      </c>
      <c r="I16" s="173">
        <f>IF(OR(GGA3_DOi="",GGA3_DOf=""),"",GGA3_DOi-GGA3_DOf)</f>
        <v>6.09</v>
      </c>
      <c r="J16" s="164" t="str">
        <f>IF(OR(GGA3_DOf&lt;1,GGA3_Depletion&lt;2),"No",IF(AND(Seed_BOD_per_mL="ERROR",GGA3_Seed_Volume&lt;&gt;""),"No","Yes"))</f>
        <v>Yes</v>
      </c>
      <c r="K16" s="72" t="str">
        <f>IF(GGA3_Volume&gt;=270,"Yes","No")</f>
        <v>No</v>
      </c>
      <c r="L16" s="57"/>
      <c r="M16" s="131">
        <f>300/GGA3_Volume*(GGA3_Depletion-(GGA3_Seed_Volume*Seed_BOD_per_mL))</f>
        <v>192.15833333333333</v>
      </c>
      <c r="N16" s="58">
        <f>IFERROR(IF(OR(GGA3_Volume="",GGA3_Depletion="",GGA3_DOf=""),"",IF(GGA3DepletionOK="No","Reject",300/GGA3_Volume*(GGA3_Depletion-(GGA3_Seed_Volume*Seed_BOD_per_mL)))),300/GGA3_Volume*GGA3_Depletion)</f>
        <v>192.15833333333333</v>
      </c>
      <c r="O16" s="78">
        <f>IF(N16="","",N16)</f>
        <v>192.15833333333333</v>
      </c>
      <c r="P16" s="188">
        <f>AVERAGE(O14:O16)</f>
        <v>209.99166666666667</v>
      </c>
      <c r="Q16" s="1"/>
    </row>
    <row r="17" spans="1:18" ht="15.75" customHeight="1" x14ac:dyDescent="0.3">
      <c r="A17" s="207" t="s">
        <v>28</v>
      </c>
      <c r="B17" s="47" t="s">
        <v>55</v>
      </c>
      <c r="C17" s="144" t="s">
        <v>89</v>
      </c>
      <c r="D17" s="152">
        <v>10</v>
      </c>
      <c r="E17" s="198">
        <f>IF(ISNUMBER(Polyseed_1_Volume),Polyseed_1_Volume/300," ")</f>
        <v>3.3333333333333333E-2</v>
      </c>
      <c r="F17" s="194"/>
      <c r="G17" s="169">
        <v>7.52</v>
      </c>
      <c r="H17" s="50">
        <v>5.18</v>
      </c>
      <c r="I17" s="174">
        <f>IF(OR(Seed1_DOi="",Seed1_DOf=""),"",Seed1_DOi-Seed1_DOf)</f>
        <v>2.34</v>
      </c>
      <c r="J17" s="165" t="str">
        <f>IF(AND(Seed1_DOf&gt;=1,Seed1_Depletion&gt;=2), "Yes", "No")</f>
        <v>Yes</v>
      </c>
      <c r="K17" s="71" t="str">
        <f>IF(Polyseed_1_Volume&gt;=270,"Yes","No")</f>
        <v>No</v>
      </c>
      <c r="L17" s="51">
        <f>IF(Seed1_DepletionOK="Yes", Seed1_Depletion/Polyseed_1_Volume,"Reject")</f>
        <v>0.23399999999999999</v>
      </c>
      <c r="M17" s="132">
        <f>Seed1_Depletion/Polyseed_1_Volume</f>
        <v>0.23399999999999999</v>
      </c>
      <c r="N17" s="60">
        <f>IF(SeedStrength1&gt;0,SeedStrength1,"Reject")</f>
        <v>0.23399999999999999</v>
      </c>
      <c r="O17" s="46">
        <f>IF(OR(SeedStrengthFinal1&gt;0,SeedStrengthFinal2&gt;0,SeedStrengthFinal3&gt;0),AVERAGE(SeedStrengthFinal1,SeedStrengthFinal2,SeedStrengthFinal3),"Reject")</f>
        <v>0.24144444444444446</v>
      </c>
      <c r="P17" s="188"/>
      <c r="R17" s="1" t="s">
        <v>64</v>
      </c>
    </row>
    <row r="18" spans="1:18" ht="15.75" customHeight="1" x14ac:dyDescent="0.3">
      <c r="A18" s="208"/>
      <c r="B18" s="61" t="str">
        <f>IF(B17="","",B17)</f>
        <v>Polyseed</v>
      </c>
      <c r="C18" s="147" t="s">
        <v>90</v>
      </c>
      <c r="D18" s="158">
        <v>15</v>
      </c>
      <c r="E18" s="197">
        <f>IF(ISNUMBER(Polyseed_2_Volume),Polyseed_2_Volume/300," ")</f>
        <v>0.05</v>
      </c>
      <c r="F18" s="195"/>
      <c r="G18" s="175">
        <v>7.48</v>
      </c>
      <c r="H18" s="64">
        <v>3.65</v>
      </c>
      <c r="I18" s="171">
        <f>IF(OR(Seed2_DOi="",Seed2_DOf=""),"",Seed2_DOi-Seed2_DOf)</f>
        <v>3.8300000000000005</v>
      </c>
      <c r="J18" s="163" t="str">
        <f>IF(AND(Seed2_DOf&gt;=1,Seed2_Depletion&gt;=2), "Yes", "No")</f>
        <v>Yes</v>
      </c>
      <c r="K18" s="73" t="str">
        <f>IF(Polyseed_2_Volume&gt;=270,"Yes","No")</f>
        <v>No</v>
      </c>
      <c r="L18" s="197">
        <f>IF(Seed2_DepletionOK="Yes", Seed2_Depletion/Polyseed_2_Volume,"Reject")</f>
        <v>0.25533333333333336</v>
      </c>
      <c r="M18" s="133">
        <f>Seed2_Depletion/Polyseed_2_Volume</f>
        <v>0.25533333333333336</v>
      </c>
      <c r="N18" s="66">
        <f>IF(SeedStrength2&gt;0,SeedStrength2,"Reject")</f>
        <v>0.25533333333333336</v>
      </c>
      <c r="O18" s="87" t="s">
        <v>61</v>
      </c>
      <c r="P18" s="189"/>
      <c r="R18" s="1" t="s">
        <v>63</v>
      </c>
    </row>
    <row r="19" spans="1:18" ht="15.75" customHeight="1" thickBot="1" x14ac:dyDescent="0.35">
      <c r="A19" s="210"/>
      <c r="B19" s="53" t="str">
        <f>IF(B18="","",B18)</f>
        <v>Polyseed</v>
      </c>
      <c r="C19" s="146" t="s">
        <v>91</v>
      </c>
      <c r="D19" s="158">
        <v>20</v>
      </c>
      <c r="E19" s="199">
        <f>IF(ISNUMBER(Polyseed_3_Volume),Polyseed_3_Volume/300," ")</f>
        <v>6.6666666666666666E-2</v>
      </c>
      <c r="F19" s="196"/>
      <c r="G19" s="175">
        <v>7.5</v>
      </c>
      <c r="H19" s="64">
        <v>2.8</v>
      </c>
      <c r="I19" s="173">
        <f>IF(OR(Seed3_DOi="",Seed3_DOf=""),"",Seed3_DOi-Seed3_DOf)</f>
        <v>4.7</v>
      </c>
      <c r="J19" s="164" t="str">
        <f>IF(AND(Seed3_DOf&gt;=1,Seed3_Depletion&gt;=2), "Yes", "No")</f>
        <v>Yes</v>
      </c>
      <c r="K19" s="72" t="str">
        <f>IF(Polyseed_3_Volume&gt;=270,"Yes","No")</f>
        <v>No</v>
      </c>
      <c r="L19" s="57">
        <f>IF(Seed3_DepletionOK="Yes", Seed3_Depletion/Polyseed_3_Volume,"Reject")</f>
        <v>0.23500000000000001</v>
      </c>
      <c r="M19" s="133">
        <f>Seed3_Depletion/Polyseed_3_Volume</f>
        <v>0.23500000000000001</v>
      </c>
      <c r="N19" s="68">
        <f>IF(SeedStrength3&gt;0,SeedStrength3,"Reject")</f>
        <v>0.23500000000000001</v>
      </c>
      <c r="O19" s="88" t="s">
        <v>62</v>
      </c>
      <c r="P19" s="188"/>
      <c r="R19" s="1" t="s">
        <v>65</v>
      </c>
    </row>
    <row r="20" spans="1:18" s="89" customFormat="1" ht="15.75" customHeight="1" x14ac:dyDescent="0.3">
      <c r="A20" s="207" t="s">
        <v>45</v>
      </c>
      <c r="B20" s="59" t="s">
        <v>73</v>
      </c>
      <c r="C20" s="144" t="s">
        <v>92</v>
      </c>
      <c r="D20" s="152">
        <v>150</v>
      </c>
      <c r="E20" s="198">
        <f>IF(ISNUMBER(Effluent_1_Volume),Effluent_1_Volume/300," ")</f>
        <v>0.5</v>
      </c>
      <c r="F20" s="153">
        <v>4</v>
      </c>
      <c r="G20" s="169">
        <v>7.5</v>
      </c>
      <c r="H20" s="50">
        <v>5.12</v>
      </c>
      <c r="I20" s="174">
        <f>IF(OR(Effluent1_DOi="",Effluent1_DOf=""),"",Effluent1_DOi-Effluent1_DOf)</f>
        <v>2.38</v>
      </c>
      <c r="J20" s="165" t="str">
        <f>IF(OR(Effluent1_DOf&lt;1,Effluent1_Depletion&lt;2),"No",IF(AND(Seed_BOD_per_mL="Error",Effluent_1_Seed_Volume&lt;&gt;""),"No","Yes"))</f>
        <v>Yes</v>
      </c>
      <c r="K20" s="71" t="str">
        <f>IF(Effluent_1_Volume&gt;=270,"Yes","No")</f>
        <v>No</v>
      </c>
      <c r="L20" s="51"/>
      <c r="M20" s="134">
        <f>300/Effluent_1_Volume*(Effluent1_Depletion-(Effluent_1_Seed_Volume*Seed_BOD_per_mL))</f>
        <v>2.8284444444444441</v>
      </c>
      <c r="N20" s="60">
        <f>IFERROR(IF(OR(Effluent_1_Volume="",Effluent1_Depletion="",Effluent1_DOf=""),"",IF(AND(Effluent1_DepletionOK="No",Effluent1VolumeMoreThan270mL="No"),"Reject",300/Effluent_1_Volume*(Effluent1_Depletion-(Effluent_1_Seed_Volume*Seed_BOD_per_mL)))),300/Effluent_1_Volume*Effluent1_Depletion)</f>
        <v>2.8284444444444441</v>
      </c>
      <c r="O20" s="46">
        <f>IFERROR(IF(AtLeast1EffluentResult="","",AVERAGE(N20:N22)),"Reject")</f>
        <v>3.3775185185185186</v>
      </c>
      <c r="P20" s="188"/>
      <c r="Q20" s="1"/>
      <c r="R20" s="89" t="s">
        <v>66</v>
      </c>
    </row>
    <row r="21" spans="1:18" ht="15.75" customHeight="1" x14ac:dyDescent="0.3">
      <c r="A21" s="208"/>
      <c r="B21" s="85" t="str">
        <f>IF(B20="","",B20)</f>
        <v>Effluent</v>
      </c>
      <c r="C21" s="147" t="s">
        <v>93</v>
      </c>
      <c r="D21" s="158">
        <v>200</v>
      </c>
      <c r="E21" s="197">
        <f>IF(ISNUMBER(Effluent_2_Volume),Effluent_2_Volume/300," ")</f>
        <v>0.66666666666666663</v>
      </c>
      <c r="F21" s="159">
        <v>4</v>
      </c>
      <c r="G21" s="175">
        <v>7.49</v>
      </c>
      <c r="H21" s="64">
        <v>4.2</v>
      </c>
      <c r="I21" s="171">
        <f>IF(OR(Effluent2_DOi="",Effluent2_DOf=""),"",Effluent2_DOi-Effluent2_DOf)</f>
        <v>3.29</v>
      </c>
      <c r="J21" s="163" t="str">
        <f>IF(OR(Effluent2_DOf&lt;1,Effluent2_Depletion&lt;2),"No",IF(AND(Seed_BOD_per_mL="Error",Effluent_2_Seed_Volume&lt;&gt;""),"No","Yes"))</f>
        <v>Yes</v>
      </c>
      <c r="K21" s="73" t="str">
        <f>IF(Effluent_2_Volume&gt;=270,"Yes","No")</f>
        <v>No</v>
      </c>
      <c r="L21" s="65"/>
      <c r="M21" s="135">
        <f>300/Effluent_2_Volume*(Effluent2_Depletion-(Effluent_2_Seed_Volume*Seed_BOD_per_mL))</f>
        <v>3.4863333333333335</v>
      </c>
      <c r="N21" s="66">
        <f>IFERROR(IF(OR(Effluent_2_Volume="",Effluent2_Depletion="",Effluent2_DOf=""),"",IF(AND(Effluent2_DepletionOK="No",Effluent2_VolumeOK="No"),"Reject",300/Effluent_2_Volume*(Effluent2_Depletion-(Effluent_2_Seed_Volume*Seed_BOD_per_mL)))),300/Effluent_2_Volume*Effluent2_Depletion)</f>
        <v>3.4863333333333335</v>
      </c>
      <c r="O21" s="214" t="str">
        <f>IF(O20&lt;2,"Report &lt;2 mg/L"," ")</f>
        <v xml:space="preserve"> </v>
      </c>
      <c r="P21" s="190"/>
    </row>
    <row r="22" spans="1:18" ht="15.75" customHeight="1" thickBot="1" x14ac:dyDescent="0.35">
      <c r="A22" s="210"/>
      <c r="B22" s="86" t="str">
        <f>IF(B21="","",B21)</f>
        <v>Effluent</v>
      </c>
      <c r="C22" s="146" t="s">
        <v>94</v>
      </c>
      <c r="D22" s="156">
        <v>240</v>
      </c>
      <c r="E22" s="199">
        <f>IF(ISNUMBER(Effluent_3_Volume),Effluent_3_Volume/300," ")</f>
        <v>0.8</v>
      </c>
      <c r="F22" s="157">
        <v>4</v>
      </c>
      <c r="G22" s="172">
        <v>7.48</v>
      </c>
      <c r="H22" s="56">
        <v>3.46</v>
      </c>
      <c r="I22" s="173">
        <f>IF(OR(Effluent3_DOi="",Effluent3_DOf=""),"",Effluent3_DOi-Effluent3_DOf)</f>
        <v>4.0200000000000005</v>
      </c>
      <c r="J22" s="164" t="str">
        <f>IF(OR(Effluent3_DOf&lt;1,Effluent3_Depletion&lt;2),"No",IF(AND(Seed_BOD_per_mL="Error",Effluent_3_Seed_Volume&lt;&gt;""),"No","Yes"))</f>
        <v>Yes</v>
      </c>
      <c r="K22" s="72" t="str">
        <f>IF(Effluent_3_Volume&gt;=270,"Yes","No")</f>
        <v>No</v>
      </c>
      <c r="L22" s="57"/>
      <c r="M22" s="136">
        <f>300/Effluent_3_Volume*(Effluent3_Depletion-(Effluent_3_Seed_Volume*Seed_BOD_per_mL))</f>
        <v>3.8177777777777782</v>
      </c>
      <c r="N22" s="68">
        <f>IFERROR(IF(OR(Effluent_3_Volume="",Effluent3_Depletion="",Effluent3_DOf=""),"",IF(AND(Effluent3_DepletionOK="No",Effluent3_VolumeOK="No"),"Reject",300/Effluent_3_Volume*(Effluent3_Depletion-(Effluent_3_Seed_Volume*Seed_BOD_per_mL)))),300/Effluent_3_Volume*Effluent3_Depletion)</f>
        <v>3.8177777777777782</v>
      </c>
      <c r="O22" s="215"/>
      <c r="P22" s="188"/>
    </row>
    <row r="23" spans="1:18" ht="15.75" customHeight="1" x14ac:dyDescent="0.3">
      <c r="A23" s="207" t="s">
        <v>26</v>
      </c>
      <c r="B23" s="59" t="s">
        <v>74</v>
      </c>
      <c r="C23" s="144" t="s">
        <v>95</v>
      </c>
      <c r="D23" s="152">
        <v>3</v>
      </c>
      <c r="E23" s="198">
        <f>IF(ISNUMBER(Influent_1_Volume),Influent_1_Volume/300," ")</f>
        <v>0.01</v>
      </c>
      <c r="F23" s="153">
        <v>0</v>
      </c>
      <c r="G23" s="169">
        <v>7.51</v>
      </c>
      <c r="H23" s="50">
        <v>3.5</v>
      </c>
      <c r="I23" s="174">
        <f>IF(OR(Influent1_DOi="",Influent1_DOf=""),"",Influent1_DOi-Influent1_DOf)</f>
        <v>4.01</v>
      </c>
      <c r="J23" s="165" t="str">
        <f>IF(OR(Influent1_DOf&lt;1,Influent1_Depletion&lt;2),"No",IF(AND(Seed_BOD_per_mL="Error",Influent1_Seed_Volume&lt;&gt;""),"No","Yes"))</f>
        <v>Yes</v>
      </c>
      <c r="K23" s="71" t="str">
        <f>IF(Influent_1_Volume&gt;=270,"Yes","No")</f>
        <v>No</v>
      </c>
      <c r="L23" s="51"/>
      <c r="M23" s="134">
        <f>300/Influent_1_Volume*(Influent1_Depletion-(Influent1_Seed_Volume*Seed_BOD_per_mL))</f>
        <v>401</v>
      </c>
      <c r="N23" s="60">
        <f>IFERROR(IF(OR(Influent_1_Volume="",Influent1_Depletion="",Influent1_DOf=""),"",IF(Influent1_DepletionOK="No","Reject",300/Influent_1_Volume*(Influent1_Depletion-(Influent1_Seed_Volume*Seed_BOD_per_mL)))),300/Influent_1_Volume*Influent1_Depletion)</f>
        <v>401</v>
      </c>
      <c r="O23" s="46">
        <f>IFERROR(IF(AtLeast1InfluentResult="","",AVERAGE(N23:N26)),"Reject")</f>
        <v>325.352380952381</v>
      </c>
      <c r="P23" s="188"/>
      <c r="R23" s="1" t="s">
        <v>68</v>
      </c>
    </row>
    <row r="24" spans="1:18" ht="15.75" customHeight="1" x14ac:dyDescent="0.3">
      <c r="A24" s="208"/>
      <c r="B24" s="85" t="str">
        <f>IF(B23="","",B23)</f>
        <v>Influent</v>
      </c>
      <c r="C24" s="147" t="s">
        <v>96</v>
      </c>
      <c r="D24" s="158">
        <v>5</v>
      </c>
      <c r="E24" s="197">
        <f>IF(ISNUMBER(Influent_2_Volume),Influent_2_Volume/300," ")</f>
        <v>1.6666666666666666E-2</v>
      </c>
      <c r="F24" s="159">
        <v>0</v>
      </c>
      <c r="G24" s="175">
        <v>7.52</v>
      </c>
      <c r="H24" s="64">
        <v>2.1</v>
      </c>
      <c r="I24" s="171">
        <f>IF(OR(Influent2_DOi="",Influent2_DOf=""),"",Influent2_DOi-Influent2_DOf)</f>
        <v>5.42</v>
      </c>
      <c r="J24" s="163" t="str">
        <f>IF(OR(Influent2_DOf&lt;1,Influent2_Depletion&lt;2),"No",IF(AND(Seed_BOD_per_mL="Error",Influent2_Seed_Volume&lt;&gt;""),"No","Yes"))</f>
        <v>Yes</v>
      </c>
      <c r="K24" s="73" t="str">
        <f>IF(Influent_2_Volume&gt;=270,"Yes","No")</f>
        <v>No</v>
      </c>
      <c r="L24" s="65"/>
      <c r="M24" s="135">
        <f>300/Influent_2_Volume*(Influent2_Depletion-(Influent2_Seed_Volume*Seed_BOD_per_mL))</f>
        <v>325.2</v>
      </c>
      <c r="N24" s="66">
        <f>IFERROR(IF(OR(Influent_2_Volume="",Influent2_Depletion="",Influent2_DOf=""),"",IF(Influent2_DepletionOK="No","Reject",300/Influent_2_Volume*(Influent2_Depletion-(Influent2_Seed_Volume*Seed_BOD_per_mL)))),300/Influent_2_Volume*Influent2_Depletion)</f>
        <v>325.2</v>
      </c>
      <c r="O24" s="67"/>
      <c r="P24" s="191"/>
      <c r="R24" s="1" t="s">
        <v>69</v>
      </c>
    </row>
    <row r="25" spans="1:18" ht="15.75" customHeight="1" x14ac:dyDescent="0.3">
      <c r="A25" s="209"/>
      <c r="B25" s="85" t="str">
        <f>IF(B24="","",B24)</f>
        <v>Influent</v>
      </c>
      <c r="C25" s="148" t="s">
        <v>97</v>
      </c>
      <c r="D25" s="160">
        <v>7</v>
      </c>
      <c r="E25" s="201">
        <f>IF(ISNUMBER(Influent_3_Volume),Influent_3_Volume/300," ")</f>
        <v>2.3333333333333334E-2</v>
      </c>
      <c r="F25" s="161">
        <v>0</v>
      </c>
      <c r="G25" s="176">
        <v>7.48</v>
      </c>
      <c r="H25" s="79">
        <v>1.65</v>
      </c>
      <c r="I25" s="171">
        <f>IF(OR(Influent3_DOi="",Influent3_DOf=""),"",Influent3_DOi-Influent3_DOf)</f>
        <v>5.83</v>
      </c>
      <c r="J25" s="163" t="str">
        <f>IF(OR(Influent3_DOf&lt;1,Influent3_Depletion&lt;2),"No",IF(AND(Seed_BOD_per_mL="Error",Influent_3_Volume&lt;&gt;""),"No","Yes"))</f>
        <v>Yes</v>
      </c>
      <c r="K25" s="81" t="str">
        <f>IF(Influent_3_Volume&gt;=270,"Yes","No")</f>
        <v>No</v>
      </c>
      <c r="L25" s="80"/>
      <c r="M25" s="135">
        <f>300/Influent_3_Volume*(Influent3_Depletion-(Influent3_Seed_Volume*Seed_BOD_per_mL))</f>
        <v>249.85714285714283</v>
      </c>
      <c r="N25" s="66">
        <f>IFERROR(IF(OR(Influent_3_Volume="",Influent3_Depletion="",Influent3_DOf=""),"",IF(Influent3_DepletionOK="No","Reject",300/Influent_3_Volume*(Influent3_Depletion-(Influent3_Seed_Volume*Seed_BOD_per_mL)))),300/Influent_3_Volume*Influent3_Depletion)</f>
        <v>249.85714285714283</v>
      </c>
      <c r="O25" s="67"/>
      <c r="P25" s="191"/>
      <c r="R25" s="1" t="s">
        <v>70</v>
      </c>
    </row>
    <row r="26" spans="1:18" ht="15.75" customHeight="1" thickBot="1" x14ac:dyDescent="0.35">
      <c r="A26" s="210"/>
      <c r="B26" s="86" t="str">
        <f>IF(B24="","",B24)</f>
        <v>Influent</v>
      </c>
      <c r="C26" s="146" t="s">
        <v>98</v>
      </c>
      <c r="D26" s="156">
        <v>10</v>
      </c>
      <c r="E26" s="199">
        <f>IF(ISNUMBER(Influent_4_Volume),Influent_4_Volume/300," ")</f>
        <v>3.3333333333333333E-2</v>
      </c>
      <c r="F26" s="157">
        <v>0</v>
      </c>
      <c r="G26" s="172">
        <v>7.5</v>
      </c>
      <c r="H26" s="56">
        <v>0.93</v>
      </c>
      <c r="I26" s="173">
        <f>IF(OR(Influent4_DOi="",Influent4_DOf=""),"",Influent4_DOi-Influent4_DOf)</f>
        <v>6.57</v>
      </c>
      <c r="J26" s="164" t="str">
        <f>IF(OR(Influent4_DOf&lt;1,Influent4_Depletion&lt;2),"No",IF(AND(Seed_BOD_per_mL="Error",Influent4_Seed_Volume&lt;&gt;""),"No","Yes"))</f>
        <v>No</v>
      </c>
      <c r="K26" s="72" t="str">
        <f>IF(Influent_4_Volume&gt;=270,"Yes","No")</f>
        <v>No</v>
      </c>
      <c r="L26" s="57"/>
      <c r="M26" s="136">
        <f>300/Influent_4_Volume*(Influent4_Depletion-(Influent4_Seed_Volume*Seed_BOD_per_mL))</f>
        <v>197.10000000000002</v>
      </c>
      <c r="N26" s="68" t="str">
        <f>IFERROR(IF(OR(Influent_4_Volume="",Influent4_Depletion="",Influent4_DOf=""),"",IF(Influent4_DepletionOK="No","Reject",300/Influent_4_Volume*(Influent4_Depletion-(Influent4_Seed_Volume*Seed_BOD_per_mL)))),300/Influent_4_Volume*Influent4_Depletion)</f>
        <v>Reject</v>
      </c>
      <c r="O26" s="69"/>
      <c r="P26" s="188"/>
    </row>
    <row r="27" spans="1:18" ht="15.75" customHeight="1" x14ac:dyDescent="0.3">
      <c r="A27" s="207" t="s">
        <v>15</v>
      </c>
      <c r="B27" s="59" t="s">
        <v>15</v>
      </c>
      <c r="C27" s="144"/>
      <c r="D27" s="152"/>
      <c r="E27" s="198" t="str">
        <f>IF(ISNUMBER(Sample3_1st_volume),Sample3_1st_volume/300," ")</f>
        <v xml:space="preserve"> </v>
      </c>
      <c r="F27" s="153"/>
      <c r="G27" s="169"/>
      <c r="H27" s="50"/>
      <c r="I27" s="174" t="str">
        <f>IF(OR(Sample3_1st_DOi="",Sample3_1st_DOf=""),"",Sample3_1st_DOi-Sample3_1st_DOf)</f>
        <v/>
      </c>
      <c r="J27" s="165" t="str">
        <f>IF(OR(Sample3_1st_DOf&lt;1,Sample3_1st_Depletion&lt;2),"No",IF(AND(Seed_BOD_per_mL="Error",Sample3_1st_Seed_Volume&lt;&gt;""),"No","Yes"))</f>
        <v>No</v>
      </c>
      <c r="K27" s="71" t="str">
        <f>IF(Sample3_1st_volume&gt;=270,"Yes","No")</f>
        <v>No</v>
      </c>
      <c r="L27" s="51"/>
      <c r="M27" s="134" t="e">
        <f>300/Sample3_1st_volume*(Sample3_1st_Depletion-(Sample3_1st_Seed_Volume*Seed_BOD_per_mL))</f>
        <v>#DIV/0!</v>
      </c>
      <c r="N27" s="60" t="str">
        <f>IFERROR(IF(OR(Sample3_1st_volume="",Sample3_1st_Depletion="",Sample3_1st_DOf=""),"",IF(Sample3_1st_DepletionOK="No","Reject",300/Sample3_1st_volume*(Sample3_1st_Depletion-(Sample3_1st_Seed_Volume*Seed_BOD_per_mL)))),300/Sample3_1st_volume*Sample3_1st_Depletion)</f>
        <v/>
      </c>
      <c r="O27" s="46" t="str">
        <f>IFERROR(IF(AtLeast1Sample3Result="","",AVERAGE(N27:N29)),"Reject")</f>
        <v/>
      </c>
      <c r="P27" s="188"/>
    </row>
    <row r="28" spans="1:18" ht="15.75" customHeight="1" x14ac:dyDescent="0.3">
      <c r="A28" s="208"/>
      <c r="B28" s="85" t="str">
        <f>IF(B27="","",B27)</f>
        <v>Sample 3</v>
      </c>
      <c r="C28" s="147"/>
      <c r="D28" s="158"/>
      <c r="E28" s="197" t="str">
        <f>IF(ISNUMBER(Sample3_2nd_Volume),Sample3_2nd_Volume/300," ")</f>
        <v xml:space="preserve"> </v>
      </c>
      <c r="F28" s="159"/>
      <c r="G28" s="175"/>
      <c r="H28" s="64"/>
      <c r="I28" s="171" t="str">
        <f>IF(OR(Sample3_2nd_DOi="",Sample3_2nd_DOf=""),"",Sample3_2nd_DOi-Sample3_2nd_DOf)</f>
        <v/>
      </c>
      <c r="J28" s="163" t="str">
        <f>IF(OR(Sample3_2nd_DOf&lt;1,Sample3_2nd_Depletion&lt;2),"No",IF(AND(Seed_BOD_per_mL="Error",Sample3_2nd_Seed_Volume&lt;&gt;""),"No","Yes"))</f>
        <v>No</v>
      </c>
      <c r="K28" s="73" t="str">
        <f>IF(Sample3_2nd_Volume&gt;=270,"Yes","No")</f>
        <v>No</v>
      </c>
      <c r="L28" s="65"/>
      <c r="M28" s="135" t="e">
        <f>300/Sample3_2nd_Volume*(Sample3_2nd_Depletion-(Sample3_2nd_Seed_Volume*Seed_BOD_per_mL))</f>
        <v>#DIV/0!</v>
      </c>
      <c r="N28" s="66" t="str">
        <f>IFERROR(IF(OR(Sample3_2nd_Volume="",Sample3_2nd_Depletion="",Sample3_2nd_DOf=""),"",IF(Sample3_2nd_DepletionOK="No","Reject",300/Sample3_2nd_Volume*(Sample3_2nd_Depletion-(Sample3_2nd_Seed_Volume*Seed_BOD_per_mL)))),300/Sample3_2nd_Volume*Sample3_2nd_Depletion)</f>
        <v/>
      </c>
      <c r="O28" s="67"/>
      <c r="P28" s="191"/>
    </row>
    <row r="29" spans="1:18" s="2" customFormat="1" ht="15.75" customHeight="1" thickBot="1" x14ac:dyDescent="0.3">
      <c r="A29" s="210"/>
      <c r="B29" s="86" t="str">
        <f>IF(B28="","",B28)</f>
        <v>Sample 3</v>
      </c>
      <c r="C29" s="146"/>
      <c r="D29" s="156"/>
      <c r="E29" s="199" t="str">
        <f>IF(ISNUMBER(Sample3_3rd_Volume),Sample3_3rd_Volume/300," ")</f>
        <v xml:space="preserve"> </v>
      </c>
      <c r="F29" s="157"/>
      <c r="G29" s="172"/>
      <c r="H29" s="56"/>
      <c r="I29" s="173" t="str">
        <f>IF(OR(Sample3_3rd_DOi="",Sample3_3rd_DOf=""),"",Sample3_3rd_DOi-Sample3_3rd_DOf)</f>
        <v/>
      </c>
      <c r="J29" s="164" t="str">
        <f>IF(OR(Sample3_3rd_DOf&lt;1,Sample3_3rd_Depletion&lt;2),"No",IF(AND(Seed_BOD_per_mL="Error",Sample3_3rd_Seed_Volume&lt;&gt;""),"No","Yes"))</f>
        <v>No</v>
      </c>
      <c r="K29" s="72" t="str">
        <f>IF(Sample3_3rd_Volume&gt;=270,"Yes","No")</f>
        <v>No</v>
      </c>
      <c r="L29" s="57"/>
      <c r="M29" s="136" t="e">
        <f>300/Sample3_3rd_Volume*(Sample3_3rd_Depletion-(Sample3_3rd_Seed_Volume*Seed_BOD_per_mL))</f>
        <v>#DIV/0!</v>
      </c>
      <c r="N29" s="68" t="str">
        <f>IFERROR(IF(OR(Sample3_3rd_Volume="",Sample3_3rd_Depletion="",Sample3_3rd_DOf=""),"",IF(Sample3_3rd_DepletionOK="No","Reject",300/Sample3_3rd_Volume*(Sample3_3rd_Depletion-(Sample3_3rd_Seed_Volume*Seed_BOD_per_mL)))),300/Sample3_3rd_Volume*Sample3_3rd_Depletion)</f>
        <v/>
      </c>
      <c r="O29" s="69"/>
      <c r="P29" s="188"/>
    </row>
    <row r="30" spans="1:18" s="2" customFormat="1" ht="15.75" customHeight="1" x14ac:dyDescent="0.25">
      <c r="A30" s="207" t="s">
        <v>16</v>
      </c>
      <c r="B30" s="59" t="s">
        <v>16</v>
      </c>
      <c r="C30" s="144"/>
      <c r="D30" s="152"/>
      <c r="E30" s="198" t="str">
        <f>IF(ISNUMBER(Sample4_1st_Volume),Sample4_1st_Volume/300," ")</f>
        <v xml:space="preserve"> </v>
      </c>
      <c r="F30" s="153"/>
      <c r="G30" s="169"/>
      <c r="H30" s="50"/>
      <c r="I30" s="174" t="str">
        <f>IF(OR(Sample4_1st_DOi="",Sample4_1st_DOf=""),"",Sample4_1st_DOi-Sample4_1st_DOf)</f>
        <v/>
      </c>
      <c r="J30" s="165" t="str">
        <f>IF(OR(Sample4_1st_DOf&lt;1,Sample4_1st_Depletion&lt;2),"No",IF(AND(Seed_BOD_per_mL="Error",Sample4_1st_Seed_Volume&lt;&gt;""),"No","Yes"))</f>
        <v>No</v>
      </c>
      <c r="K30" s="71" t="str">
        <f>IF(Sample4_1st_Volume&gt;=270,"Yes","No")</f>
        <v>No</v>
      </c>
      <c r="L30" s="51"/>
      <c r="M30" s="134" t="e">
        <f>300/Sample4_1st_Volume*(Sample4_1st_Depletion-(Sample4_1st_Seed_Volume*Seed_BOD_per_mL))</f>
        <v>#DIV/0!</v>
      </c>
      <c r="N30" s="60" t="str">
        <f>IFERROR(IF(OR(Sample4_1st_Volume="",Sample4_1st_Depletion="",Sample4_1st_DOf=""),"",IF(Sample4_1st_DepletionOK="No","Reject",300/Sample4_1st_Volume*(Sample4_1st_Depletion-(Sample4_1st_Seed_Volume*Seed_BOD_per_mL)))),300/Sample4_1st_Volume*Sample4_1st_Depletion)</f>
        <v/>
      </c>
      <c r="O30" s="46" t="str">
        <f>IFERROR(IF(AtLeast1Sample4Result="","",AVERAGE(N30:N32)),"Reject")</f>
        <v/>
      </c>
      <c r="P30" s="188"/>
    </row>
    <row r="31" spans="1:18" s="2" customFormat="1" ht="15.75" customHeight="1" x14ac:dyDescent="0.25">
      <c r="A31" s="208"/>
      <c r="B31" s="85" t="str">
        <f>IF(B30="","",B30)</f>
        <v>Sample 4</v>
      </c>
      <c r="C31" s="147"/>
      <c r="D31" s="158"/>
      <c r="E31" s="197" t="str">
        <f>IF(ISNUMBER(Sample4_2nd_Volume),Sample4_2nd_Volume/300," ")</f>
        <v xml:space="preserve"> </v>
      </c>
      <c r="F31" s="159"/>
      <c r="G31" s="175"/>
      <c r="H31" s="64"/>
      <c r="I31" s="171" t="str">
        <f>IF(OR(Sample4_2nd_DOi="",Sample4_2nd_DOf=""),"",Sample4_2nd_DOi-Sample4_2nd_DOf)</f>
        <v/>
      </c>
      <c r="J31" s="163" t="str">
        <f>IF(OR(Sample4_2nd_DOf&lt;1,Sample4_2nd_Depletion&lt;2),"No",IF(AND(Seed_BOD_per_mL="Error",Sample4_2nd_Seed_Volume&lt;&gt;""),"No","Yes"))</f>
        <v>No</v>
      </c>
      <c r="K31" s="73" t="str">
        <f>IF(Sample4_2nd_Volume&gt;=270,"Yes","No")</f>
        <v>No</v>
      </c>
      <c r="L31" s="65"/>
      <c r="M31" s="135" t="e">
        <f>300/Sample4_2nd_Volume*(Sample4_2nd_Depletion-(Sample4_2nd_Seed_Volume*Seed_BOD_per_mL))</f>
        <v>#DIV/0!</v>
      </c>
      <c r="N31" s="66" t="str">
        <f>IFERROR(IF(OR(Sample4_2nd_Volume="",Sample4_2nd_Depletion="",Sample4_2nd_DOf=""),"",IF(Sample4_2nd_DepletionOK="No","Reject",300/Sample4_2nd_Volume*(Sample4_2nd_Depletion-(Sample4_2nd_Seed_Volume*Seed_BOD_per_mL)))),300/Sample4_2nd_Volume*Sample4_2nd_Depletion)</f>
        <v/>
      </c>
      <c r="O31" s="67"/>
      <c r="P31" s="191"/>
    </row>
    <row r="32" spans="1:18" ht="15.75" customHeight="1" thickBot="1" x14ac:dyDescent="0.35">
      <c r="A32" s="210"/>
      <c r="B32" s="86" t="str">
        <f>IF(B31="","",B31)</f>
        <v>Sample 4</v>
      </c>
      <c r="C32" s="146"/>
      <c r="D32" s="156"/>
      <c r="E32" s="199" t="str">
        <f>IF(ISNUMBER(Sample4_3rd_Volume),Sample4_3rd_Volume/300," ")</f>
        <v xml:space="preserve"> </v>
      </c>
      <c r="F32" s="157"/>
      <c r="G32" s="172"/>
      <c r="H32" s="56"/>
      <c r="I32" s="173" t="str">
        <f>IF(OR(Sample4_3rd_DOi="",Sample4_3rd_DOf=""),"",Sample4_3rd_DOi-Sample4_3rd_DOf)</f>
        <v/>
      </c>
      <c r="J32" s="164" t="str">
        <f>IF(OR(Sample4_3rd_DOf&lt;1,Sample4_3rd_Depletion&lt;2),"No",IF(AND(Seed_BOD_per_mL="Error",Sample4_3rd_Seed_Volume&lt;&gt;""),"No","Yes"))</f>
        <v>No</v>
      </c>
      <c r="K32" s="72" t="str">
        <f>IF(Sample4_3rd_Volume&gt;=270,"Yes","No")</f>
        <v>No</v>
      </c>
      <c r="L32" s="57"/>
      <c r="M32" s="136" t="e">
        <f>300/Sample4_3rd_Volume*(Sample4_3rd_Depletion-(Sample4_3rd_Seed_Volume*Seed_BOD_per_mL))</f>
        <v>#DIV/0!</v>
      </c>
      <c r="N32" s="68" t="str">
        <f>IFERROR(IF(OR(Sample4_3rd_Volume="",Sample4_3rd_Depletion="",Sample4_3rd_DOf=""),"",IF(Sample4_3rd_DepletionOK="No","Reject",300/Sample4_3rd_Volume*(Sample4_3rd_Depletion-(Sample4_3rd_Seed_Volume*Seed_BOD_per_mL)))),300/Sample4_3rd_Volume*Sample4_3rd_Depletion)</f>
        <v/>
      </c>
      <c r="O32" s="69"/>
      <c r="P32" s="188"/>
    </row>
    <row r="33" spans="1:16" ht="15.75" customHeight="1" x14ac:dyDescent="0.3">
      <c r="A33" s="207" t="s">
        <v>49</v>
      </c>
      <c r="B33" s="59" t="s">
        <v>49</v>
      </c>
      <c r="C33" s="144"/>
      <c r="D33" s="152"/>
      <c r="E33" s="198" t="str">
        <f>IF(ISNUMBER(Sample5_1st_Volume),Sample5_1st_Volume/300," ")</f>
        <v xml:space="preserve"> </v>
      </c>
      <c r="F33" s="153"/>
      <c r="G33" s="169"/>
      <c r="H33" s="50"/>
      <c r="I33" s="174" t="str">
        <f>IF(OR(Sample5_1st_DOi="",Sample5_1st_DOf=""),"",Sample5_1st_DOi-Sample5_1st_DOf)</f>
        <v/>
      </c>
      <c r="J33" s="165" t="str">
        <f>IF(OR(Sample5_1st_DOf&lt;1,Sample5_1st_Depletion&lt;2),"No",IF(AND(Seed_BOD_per_mL="Error",Sample5_1st_Seed_Volume&lt;&gt;""),"No","Yes"))</f>
        <v>No</v>
      </c>
      <c r="K33" s="73" t="str">
        <f>IF(Sample5_1st_Volume&gt;=270,"Yes","No")</f>
        <v>No</v>
      </c>
      <c r="L33" s="51"/>
      <c r="M33" s="134" t="e">
        <f>300/Sample5_1st_Volume*(Sample5_1st_Depletion-(Sample5_1st_Seed_Volume*Seed_BOD_per_mL))</f>
        <v>#DIV/0!</v>
      </c>
      <c r="N33" s="60" t="str">
        <f>IFERROR(IF(OR(Sample5_1st_Volume="",Sample5_1st_Depletion="",Sample5_1st_DOf=""),"",IF(Sample5_1st_DepletionOK="No","Reject",300/Sample5_1st_Volume*(Sample5_1st_Depletion-(Sample5_1st_Seed_Volume*Seed_BOD_per_mL)))),300/Sample5_1st_Volume*Sample5_1st_Depletion)</f>
        <v/>
      </c>
      <c r="O33" s="46" t="str">
        <f>IFERROR(IF(AtLeast1Sample5Result="","",AVERAGE(N33:N35)),"Reject")</f>
        <v/>
      </c>
      <c r="P33" s="188"/>
    </row>
    <row r="34" spans="1:16" ht="15.75" customHeight="1" x14ac:dyDescent="0.3">
      <c r="A34" s="208"/>
      <c r="B34" s="85" t="str">
        <f>IF(B33="","",B33)</f>
        <v>Sample 5</v>
      </c>
      <c r="C34" s="147"/>
      <c r="D34" s="158"/>
      <c r="E34" s="197" t="str">
        <f>IF(ISNUMBER(Sample5_2nd_Volume),Sample5_2nd_Volume/300," ")</f>
        <v xml:space="preserve"> </v>
      </c>
      <c r="F34" s="159"/>
      <c r="G34" s="175"/>
      <c r="H34" s="64"/>
      <c r="I34" s="171" t="str">
        <f>IF(OR(Sample5_2nd_DOi="",Sample5_2nd_DOf=""),"",Sample5_2nd_DOi-Sample5_2nd_DOf)</f>
        <v/>
      </c>
      <c r="J34" s="163" t="str">
        <f>IF(OR(Sample5_2nd_DOf&lt;1,Sample5_2nd_Depletion&lt;2),"No",IF(AND(Seed_BOD_per_mL="Error",Sample5_2nd_Seed_Volume&lt;&gt;""),"No","Yes"))</f>
        <v>No</v>
      </c>
      <c r="K34" s="73" t="str">
        <f>IF(Sample5_2nd_Volume&gt;=270,"Yes","No")</f>
        <v>No</v>
      </c>
      <c r="L34" s="65"/>
      <c r="M34" s="135" t="e">
        <f>300/Sample5_2nd_Volume*(Sample5_2nd_Depletion-(Sample5_2nd_Seed_Volume*Seed_BOD_per_mL))</f>
        <v>#DIV/0!</v>
      </c>
      <c r="N34" s="66" t="str">
        <f>IFERROR(IF(OR(Sample5_2nd_Volume="",Sample5_2nd_Depletion="",Sample5_2nd_DOf=""),"",IF(Sample5_2nd_DepletionOK="No","Reject",300/Sample5_2nd_Volume*(Sample5_2nd_Depletion-(Sample5_2nd_Seed_Volume*Seed_BOD_per_mL)))),300/Sample5_2nd_Volume*Sample5_2nd_Depletion)</f>
        <v/>
      </c>
      <c r="O34" s="67"/>
      <c r="P34" s="191"/>
    </row>
    <row r="35" spans="1:16" ht="15.75" customHeight="1" thickBot="1" x14ac:dyDescent="0.35">
      <c r="A35" s="210"/>
      <c r="B35" s="86" t="str">
        <f>IF(B34="","",B34)</f>
        <v>Sample 5</v>
      </c>
      <c r="C35" s="146"/>
      <c r="D35" s="156"/>
      <c r="E35" s="199" t="str">
        <f>IF(ISNUMBER(Sample5_3rd_Volume),Sample5_3rd_Volume/300," ")</f>
        <v xml:space="preserve"> </v>
      </c>
      <c r="F35" s="157"/>
      <c r="G35" s="172"/>
      <c r="H35" s="56"/>
      <c r="I35" s="173" t="str">
        <f>IF(OR(Sample5_3rd_DOi="",Sample5_3rd_DOf=""),"",Sample5_3rd_DOi-Sample5_3rd_DOf)</f>
        <v/>
      </c>
      <c r="J35" s="164" t="str">
        <f>IF(OR(Sample5_3rd_DOf&lt;1,Sample5_3rd_Depletion&lt;2),"No",IF(AND(Seed_BOD_per_mL="Error",Sample5_3rd_Seed_Volume&lt;&gt;""),"No","Yes"))</f>
        <v>No</v>
      </c>
      <c r="K35" s="72" t="str">
        <f>IF(Sample5_3rd_Volume&gt;=270,"Yes","No")</f>
        <v>No</v>
      </c>
      <c r="L35" s="57"/>
      <c r="M35" s="136" t="e">
        <f>300/Sample5_3rd_Volume*(Sample5_3rd_Depletion-(Sample5_3rd_Seed_Volume*Seed_BOD_per_mL))</f>
        <v>#DIV/0!</v>
      </c>
      <c r="N35" s="68" t="str">
        <f>IFERROR(IF(OR(Sample5_3rd_Volume="",Sample5_3rd_Depletion="",Sample5_3rd_DOf=""),"",IF(Sample5_3rd_DepletionOK="No","Reject",300/Sample5_3rd_Volume*(Sample5_3rd_Depletion-(Sample5_3rd_Seed_Volume*Seed_BOD_per_mL)))),300/Sample5_3rd_Volume*Sample5_3rd_Depletion)</f>
        <v/>
      </c>
      <c r="O35" s="69"/>
      <c r="P35" s="191"/>
    </row>
    <row r="36" spans="1:16" ht="15.75" customHeight="1" x14ac:dyDescent="0.3">
      <c r="A36" s="207" t="s">
        <v>50</v>
      </c>
      <c r="B36" s="59" t="s">
        <v>50</v>
      </c>
      <c r="C36" s="144"/>
      <c r="D36" s="152"/>
      <c r="E36" s="198" t="str">
        <f>IF(ISNUMBER(Sample6_1st_Volume),Sample6_1st_Volume/300," ")</f>
        <v xml:space="preserve"> </v>
      </c>
      <c r="F36" s="153"/>
      <c r="G36" s="169"/>
      <c r="H36" s="50"/>
      <c r="I36" s="174" t="str">
        <f>IF(OR(Sample6_1st_DOi="",Sample6_1st_DOf=""),"",Sample6_1st_DOi-Sample6_1st_DOf)</f>
        <v/>
      </c>
      <c r="J36" s="165" t="str">
        <f>IF(OR(Sample6_1st_DOf&lt;1,Sample6_1st_Depletion&lt;2),"No",IF(AND(Seed_BOD_per_mL="Error",Sample6_1st_Seed_Volume&lt;&gt;""),"No","Yes"))</f>
        <v>No</v>
      </c>
      <c r="K36" s="71" t="str">
        <f>IF(Sample6_1st_Volume&gt;=270,"Yes","No")</f>
        <v>No</v>
      </c>
      <c r="L36" s="51"/>
      <c r="M36" s="134" t="e">
        <f>300/Sample6_1st_Volume*(Sample6_1st_Depletion-(Sample6_1st_Seed_Volume*Seed_BOD_per_mL))</f>
        <v>#DIV/0!</v>
      </c>
      <c r="N36" s="60" t="str">
        <f>IFERROR(IF(OR(Sample6_1st_Volume="",Sample6_1st_Depletion="",Sample6_1st_DOf=""),"",IF(Sample6_1st_DepletionOK="No","Reject",300/Sample6_1st_Volume*(Sample6_1st_Depletion-(Sample6_1st_Seed_Volume*Seed_BOD_per_mL)))),300/Sample6_1st_Volume*Sample6_1st_Depletion)</f>
        <v/>
      </c>
      <c r="O36" s="46" t="str">
        <f>IFERROR(IF(AtLeast1Sample6Result="","",AVERAGE(N36:N38)),"Reject")</f>
        <v/>
      </c>
      <c r="P36" s="188"/>
    </row>
    <row r="37" spans="1:16" ht="15.75" customHeight="1" x14ac:dyDescent="0.3">
      <c r="A37" s="208"/>
      <c r="B37" s="85" t="str">
        <f>IF(B36="","",B36)</f>
        <v>Sample 6</v>
      </c>
      <c r="C37" s="147"/>
      <c r="D37" s="158"/>
      <c r="E37" s="197" t="str">
        <f>IF(ISNUMBER(Sample6_2nd_Volume),Sample6_2nd_Volume/300," ")</f>
        <v xml:space="preserve"> </v>
      </c>
      <c r="F37" s="159"/>
      <c r="G37" s="175"/>
      <c r="H37" s="64"/>
      <c r="I37" s="171" t="str">
        <f>IF(OR(Sample6_2nd_DOi="",Sample6_2nd_DOf=""),"",Sample6_2nd_DOi-Sample6_2nd_DOf)</f>
        <v/>
      </c>
      <c r="J37" s="163" t="str">
        <f>IF(OR(Sample6_2nd_DOf&lt;1,Sample6_2nd_Depletion&lt;2),"No",IF(AND(Seed_BOD_per_mL="Error",Sample6_2nd_Seed_Volume&lt;&gt;""),"No","Yes"))</f>
        <v>No</v>
      </c>
      <c r="K37" s="73" t="str">
        <f>IF(Sample6_2nd_Volume&gt;=270,"Yes","No")</f>
        <v>No</v>
      </c>
      <c r="L37" s="65"/>
      <c r="M37" s="135" t="e">
        <f>300/Sample6_2nd_Volume*(Sample6_2nd_Depletion-(Sample6_2nd_Seed_Volume*Seed_BOD_per_mL))</f>
        <v>#DIV/0!</v>
      </c>
      <c r="N37" s="66" t="str">
        <f>IFERROR(IF(OR(Sample6_2nd_Volume="",Sample6_2nd_Depletion="",Sample6_2nd_DOf=""),"",IF(Sample6_2nd_DepletionOK="No","Reject",300/Sample6_2nd_Volume*(Sample6_2nd_Depletion-(Sample6_2nd_Seed_Volume*Seed_BOD_per_mL)))),300/Sample6_2nd_Volume*Sample6_2nd_Depletion)</f>
        <v/>
      </c>
      <c r="O37" s="67"/>
      <c r="P37" s="191"/>
    </row>
    <row r="38" spans="1:16" ht="15.75" customHeight="1" thickBot="1" x14ac:dyDescent="0.35">
      <c r="A38" s="210"/>
      <c r="B38" s="86" t="str">
        <f>IF(B37="","",B37)</f>
        <v>Sample 6</v>
      </c>
      <c r="C38" s="146"/>
      <c r="D38" s="156"/>
      <c r="E38" s="199" t="str">
        <f>IF(ISNUMBER(Sample6_3rd_Volume),Sample6_3rd_Volume/300," ")</f>
        <v xml:space="preserve"> </v>
      </c>
      <c r="F38" s="157"/>
      <c r="G38" s="172"/>
      <c r="H38" s="56"/>
      <c r="I38" s="173" t="str">
        <f>IF(OR(Sample6_3rd_DOi="",Sample6_3rd_DOf=""),"",Sample6_3rd_DOi-Sample6_3rd_DOf)</f>
        <v/>
      </c>
      <c r="J38" s="164" t="str">
        <f>IF(OR(Sample6_3rd_DOf&lt;1,Sample6_3rd_Depletion&lt;2),"No",IF(AND(Seed_BOD_per_mL="Error",Sample6_3rd_Seed_Volume&lt;&gt;""),"No","Yes"))</f>
        <v>No</v>
      </c>
      <c r="K38" s="72" t="str">
        <f>IF(Sample6_3rd_Volume&gt;=270,"Yes","No")</f>
        <v>No</v>
      </c>
      <c r="L38" s="57"/>
      <c r="M38" s="136" t="e">
        <f>300/Sample6_3rd_Volume*(Sample6_3rd_Depletion-(Sample6_3rd_Seed_Volume*Seed_BOD_per_mL))</f>
        <v>#DIV/0!</v>
      </c>
      <c r="N38" s="68" t="str">
        <f>IFERROR(IF(OR(Sample6_3rd_Volume="",Sample6_3rd_Depletion="",Sample6_3rd_DOf=""),"",IF(Sample6_3rd_DepletionOK="No","Reject",300/Sample6_3rd_Volume*(Sample6_3rd_Depletion-(Sample6_3rd_Seed_Volume*Seed_BOD_per_mL)))),300/Sample6_3rd_Volume*Sample6_3rd_Depletion)</f>
        <v/>
      </c>
      <c r="O38" s="69"/>
      <c r="P38" s="191"/>
    </row>
    <row r="39" spans="1:16" ht="15.75" customHeight="1" x14ac:dyDescent="0.3">
      <c r="A39" s="207" t="s">
        <v>51</v>
      </c>
      <c r="B39" s="59" t="s">
        <v>51</v>
      </c>
      <c r="C39" s="144"/>
      <c r="D39" s="152"/>
      <c r="E39" s="198" t="str">
        <f>IF(ISNUMBER(Sample7_1st_Volume),Sample7_1st_Volume/300," ")</f>
        <v xml:space="preserve"> </v>
      </c>
      <c r="F39" s="153"/>
      <c r="G39" s="169"/>
      <c r="H39" s="50"/>
      <c r="I39" s="174" t="str">
        <f>IF(OR(Sample7_1st_DOi="",Sample7_1st_DOf=""),"",Sample7_1st_DOi-Sample7_1st_DOf)</f>
        <v/>
      </c>
      <c r="J39" s="165" t="str">
        <f>IF(OR(Sample7_1st_DOf&lt;1,Sample7_1st_Depletion&lt;2),"No",IF(AND(Seed_BOD_per_mL="Error",Sample7_1st_Seed_Volume&lt;&gt;""),"No","Yes"))</f>
        <v>No</v>
      </c>
      <c r="K39" s="71" t="str">
        <f>IF(Sample7_1st_Volume&gt;=270,"Yes","No")</f>
        <v>No</v>
      </c>
      <c r="L39" s="51"/>
      <c r="M39" s="134" t="e">
        <f>300/Sample7_1st_Volume*(Sample7_1st_Depletion-(Sample7_1st_Seed_Volume*Seed_BOD_per_mL))</f>
        <v>#DIV/0!</v>
      </c>
      <c r="N39" s="60" t="str">
        <f>IFERROR(IF(OR(Sample7_1st_Volume="",Sample7_1st_Depletion="",Sample7_1st_DOf=""),"",IF(Sample7_1st_DepletionOK="No","Reject",300/Sample7_1st_Volume*(Sample7_1st_Depletion-(Sample7_1st_Seed_Volume*Seed_BOD_per_mL)))),300/Sample7_1st_Volume*Sample7_1st_Depletion)</f>
        <v/>
      </c>
      <c r="O39" s="46" t="str">
        <f>IFERROR(IF(AtLeast1Sample7Result="","",AVERAGE(N39:N41)),"Reject")</f>
        <v/>
      </c>
      <c r="P39" s="188"/>
    </row>
    <row r="40" spans="1:16" ht="15.75" customHeight="1" x14ac:dyDescent="0.3">
      <c r="A40" s="208"/>
      <c r="B40" s="85" t="str">
        <f>IF(B39="","",B39)</f>
        <v>Sample 7</v>
      </c>
      <c r="C40" s="147"/>
      <c r="D40" s="158"/>
      <c r="E40" s="197" t="str">
        <f>IF(ISNUMBER(Sample7_2nd_Volume),Sample7_2nd_Volume/300," ")</f>
        <v xml:space="preserve"> </v>
      </c>
      <c r="F40" s="159"/>
      <c r="G40" s="175"/>
      <c r="H40" s="64"/>
      <c r="I40" s="171" t="str">
        <f>IF(OR(Sample7_2nd_DOi="",Sample7_2nd_DOf=""),"",Sample7_2nd_DOi-Sample7_2nd_DOf)</f>
        <v/>
      </c>
      <c r="J40" s="163" t="str">
        <f>IF(OR(Sample7_2nd_DOf&lt;1,Sample7_2nd_Depletion&lt;2),"No",IF(AND(Seed_BOD_per_mL="Error",Sample7_2nd_Seed_Volume&lt;&gt;""),"No","Yes"))</f>
        <v>No</v>
      </c>
      <c r="K40" s="73" t="str">
        <f>IF(Sample7_2nd_Volume&gt;=270,"Yes","No")</f>
        <v>No</v>
      </c>
      <c r="L40" s="65"/>
      <c r="M40" s="135" t="e">
        <f>300/Sample7_2nd_Volume*(Sample7_2nd_Depletion-(Sample7_2nd_Seed_Volume*Seed_BOD_per_mL))</f>
        <v>#DIV/0!</v>
      </c>
      <c r="N40" s="66" t="str">
        <f>IFERROR(IF(OR(Sample7_2nd_Volume="",Sample7_2nd_Depletion="",Sample7_2nd_DOf=""),"",IF(Sample7_2nd_DepletionOK="No","Reject",300/Sample7_2nd_Volume*(Sample7_2nd_Depletion-(Sample7_2nd_Seed_Volume*Seed_BOD_per_mL)))),300/Sample7_2nd_Volume*Sample7_2nd_Depletion)</f>
        <v/>
      </c>
      <c r="O40" s="67"/>
      <c r="P40" s="191"/>
    </row>
    <row r="41" spans="1:16" ht="15.75" customHeight="1" thickBot="1" x14ac:dyDescent="0.35">
      <c r="A41" s="210"/>
      <c r="B41" s="86" t="str">
        <f>IF(B40="","",B40)</f>
        <v>Sample 7</v>
      </c>
      <c r="C41" s="146"/>
      <c r="D41" s="156"/>
      <c r="E41" s="199" t="str">
        <f>IF(ISNUMBER(Sample7_3rd_Volume),Sample7_3rd_Volume/300," ")</f>
        <v xml:space="preserve"> </v>
      </c>
      <c r="F41" s="157"/>
      <c r="G41" s="172"/>
      <c r="H41" s="56"/>
      <c r="I41" s="173" t="str">
        <f>IF(OR(Sample7_3rd_DOi="",Sample7_3rd_DOf=""),"",Sample7_3rd_DOi-Sample7_3rd_DOf)</f>
        <v/>
      </c>
      <c r="J41" s="164" t="str">
        <f>IF(OR(Sample7_3rd_DOf&lt;1,Sample7_3rd_Depletion&lt;2),"No",IF(AND(Seed_BOD_per_mL="Error",Sample7_3rd_Seed_Volume&lt;&gt;""),"No","Yes"))</f>
        <v>No</v>
      </c>
      <c r="K41" s="72" t="str">
        <f>IF(Sample7_3rd_Volume&gt;=270,"Yes","No")</f>
        <v>No</v>
      </c>
      <c r="L41" s="57"/>
      <c r="M41" s="136" t="e">
        <f>300/Sample7_3rd_Volume*(Sample7_3rd_Depletion-(Sample7_3rd_Seed_Volume*Seed_BOD_per_mL))</f>
        <v>#DIV/0!</v>
      </c>
      <c r="N41" s="68" t="str">
        <f>IFERROR(IF(OR(Sample7_3rd_Volume="",Sample7_3rd_Depletion="",Sample7_3rd_DOf=""),"",IF(Sample7_3rd_DepletionOK="No","Reject",300/Sample7_3rd_Volume*(Sample7_3rd_Depletion-(Sample7_3rd_Seed_Volume*Seed_BOD_per_mL)))),300/Sample7_3rd_Volume*Sample7_3rd_Depletion)</f>
        <v/>
      </c>
      <c r="O41" s="69"/>
      <c r="P41" s="191"/>
    </row>
    <row r="42" spans="1:16" ht="15.75" hidden="1" customHeight="1" x14ac:dyDescent="0.3">
      <c r="A42" s="207" t="s">
        <v>53</v>
      </c>
      <c r="B42" s="59"/>
      <c r="C42" s="48"/>
      <c r="D42" s="49"/>
      <c r="E42" s="82" t="str">
        <f t="shared" ref="E42:E44" si="0">IF(D42="","",D42/300)</f>
        <v/>
      </c>
      <c r="F42" s="95"/>
      <c r="G42" s="50"/>
      <c r="H42" s="50"/>
      <c r="I42" s="51" t="str">
        <f t="shared" ref="I42:I45" si="1">IF(OR(G42="",H42=""),"",G42-H42)</f>
        <v/>
      </c>
      <c r="J42" s="51" t="str">
        <f>IF(OR(H42&lt;1,I42&lt;2),"No",IF(AND(Seed_BOD_per_mL="Error",F42&lt;&gt;""),"No","Yes"))</f>
        <v>No</v>
      </c>
      <c r="K42" s="71" t="str">
        <f t="shared" ref="K42:K44" si="2">IF(D42&gt;=270,"Yes","No")</f>
        <v>No</v>
      </c>
      <c r="L42" s="51"/>
      <c r="M42" s="124"/>
      <c r="N42" s="60" t="str">
        <f>IFERROR(IF(OR(D42="",I42="",H42=""),"",IF(J42="No","Reject",300/D42*(I42-(F42*Seed_BOD_per_mL)))),300/D42*I42)</f>
        <v/>
      </c>
      <c r="O42" s="46" t="str">
        <f>IFERROR(IF(N42="","",AVERAGE(N42:N44)),"Reject")</f>
        <v/>
      </c>
      <c r="P42" s="188"/>
    </row>
    <row r="43" spans="1:16" ht="15.75" hidden="1" customHeight="1" x14ac:dyDescent="0.3">
      <c r="A43" s="208"/>
      <c r="B43" s="85" t="str">
        <f t="shared" ref="B43:B44" si="3">IF(B42="","",B42)</f>
        <v/>
      </c>
      <c r="C43" s="62"/>
      <c r="D43" s="63"/>
      <c r="E43" s="84" t="str">
        <f t="shared" si="0"/>
        <v/>
      </c>
      <c r="F43" s="96"/>
      <c r="G43" s="64"/>
      <c r="H43" s="64"/>
      <c r="I43" s="65" t="str">
        <f t="shared" si="1"/>
        <v/>
      </c>
      <c r="J43" s="65" t="str">
        <f>IF(OR(H43&lt;1,I43&lt;2),"No",IF(AND(Seed_BOD_per_mL="Error",F43&lt;&gt;""),"No","Yes"))</f>
        <v>No</v>
      </c>
      <c r="K43" s="73" t="str">
        <f t="shared" si="2"/>
        <v>No</v>
      </c>
      <c r="L43" s="65"/>
      <c r="M43" s="126"/>
      <c r="N43" s="66" t="str">
        <f>IFERROR(IF(OR(D43="",I43="",H43=""),"",IF(J43="No","Reject",300/D43*(I43-(F43*Seed_BOD_per_mL)))),300/D43*I43)</f>
        <v/>
      </c>
      <c r="O43" s="67"/>
      <c r="P43" s="191"/>
    </row>
    <row r="44" spans="1:16" ht="15.75" hidden="1" customHeight="1" thickBot="1" x14ac:dyDescent="0.35">
      <c r="A44" s="210"/>
      <c r="B44" s="86" t="str">
        <f t="shared" si="3"/>
        <v/>
      </c>
      <c r="C44" s="54"/>
      <c r="D44" s="55"/>
      <c r="E44" s="83" t="str">
        <f t="shared" si="0"/>
        <v/>
      </c>
      <c r="F44" s="97"/>
      <c r="G44" s="56"/>
      <c r="H44" s="56"/>
      <c r="I44" s="57" t="str">
        <f t="shared" si="1"/>
        <v/>
      </c>
      <c r="J44" s="57" t="str">
        <f>IF(OR(H44&lt;1,I44&lt;2),"No",IF(AND(Seed_BOD_per_mL="Error",F44&lt;&gt;""),"No","Yes"))</f>
        <v>No</v>
      </c>
      <c r="K44" s="72" t="str">
        <f t="shared" si="2"/>
        <v>No</v>
      </c>
      <c r="L44" s="57"/>
      <c r="M44" s="125"/>
      <c r="N44" s="68" t="str">
        <f>IFERROR(IF(OR(D44="",I44="",H44=""),"",IF(J44="No","Reject",300/D44*(I44-(F44*Seed_BOD_per_mL)))),300/D44*I44)</f>
        <v/>
      </c>
      <c r="O44" s="69"/>
      <c r="P44" s="191"/>
    </row>
    <row r="45" spans="1:16" ht="15.75" customHeight="1" x14ac:dyDescent="0.3">
      <c r="A45"/>
      <c r="B45" s="116"/>
      <c r="C45" s="117"/>
      <c r="D45" s="118"/>
      <c r="E45" s="119"/>
      <c r="F45" s="120"/>
      <c r="G45" s="121"/>
      <c r="H45" s="122"/>
      <c r="I45" s="70" t="str">
        <f t="shared" si="1"/>
        <v/>
      </c>
      <c r="J45" s="70"/>
      <c r="K45" s="70"/>
      <c r="L45" s="70"/>
      <c r="M45" s="70"/>
      <c r="N45" s="119"/>
      <c r="O45" s="123"/>
      <c r="P45" s="37"/>
    </row>
    <row r="46" spans="1:16" ht="9" customHeight="1" thickBot="1" x14ac:dyDescent="0.35">
      <c r="A46"/>
      <c r="B46" s="32"/>
      <c r="C46" s="33"/>
      <c r="D46" s="34"/>
      <c r="E46" s="33"/>
      <c r="F46" s="33"/>
      <c r="G46" s="33"/>
      <c r="H46" s="35"/>
      <c r="I46" s="36"/>
      <c r="J46" s="36"/>
      <c r="K46" s="36"/>
      <c r="L46" s="36"/>
      <c r="M46" s="36"/>
      <c r="N46" s="37"/>
      <c r="O46" s="37"/>
      <c r="P46" s="37"/>
    </row>
    <row r="47" spans="1:16" s="115" customFormat="1" ht="12.75" x14ac:dyDescent="0.2">
      <c r="A47" s="109"/>
      <c r="B47" s="110" t="s">
        <v>76</v>
      </c>
      <c r="C47" s="111"/>
      <c r="D47" s="112"/>
      <c r="E47" s="112"/>
      <c r="F47" s="112"/>
      <c r="G47" s="113" t="s">
        <v>77</v>
      </c>
      <c r="H47" s="112"/>
      <c r="I47" s="112"/>
      <c r="J47" s="113" t="s">
        <v>78</v>
      </c>
      <c r="K47" s="112"/>
      <c r="L47" s="112"/>
      <c r="M47" s="112"/>
      <c r="N47" s="112"/>
      <c r="O47" s="114"/>
    </row>
    <row r="48" spans="1:16" s="102" customFormat="1" ht="12.75" x14ac:dyDescent="0.2">
      <c r="A48" s="103"/>
      <c r="C48" s="104"/>
      <c r="O48" s="105"/>
    </row>
    <row r="49" spans="1:15" s="102" customFormat="1" ht="12" thickBot="1" x14ac:dyDescent="0.25">
      <c r="A49" s="106"/>
      <c r="B49" s="107"/>
      <c r="C49" s="107"/>
      <c r="D49" s="107"/>
      <c r="E49" s="107"/>
      <c r="F49" s="107"/>
      <c r="G49" s="107"/>
      <c r="H49" s="107"/>
      <c r="I49" s="107"/>
      <c r="J49" s="107"/>
      <c r="K49" s="107"/>
      <c r="L49" s="107"/>
      <c r="M49" s="107"/>
      <c r="N49" s="107"/>
      <c r="O49" s="108"/>
    </row>
    <row r="50" spans="1:15" ht="15.75" x14ac:dyDescent="0.3">
      <c r="C50"/>
      <c r="F50" s="38"/>
      <c r="G50" s="38"/>
      <c r="H50" s="38"/>
      <c r="I50" s="38"/>
    </row>
    <row r="51" spans="1:15" x14ac:dyDescent="0.3">
      <c r="B51" s="74" t="s">
        <v>100</v>
      </c>
    </row>
  </sheetData>
  <sheetProtection algorithmName="SHA-512" hashValue="2L8vbsTHgOX8xVEjSFifZGnEzDDeh/vXIa3gPqYbpfhbLBZ3y6mSSTxaBWiM6ND8MaE9fWU2UFoTrulCt+okyQ==" saltValue="byPX8FKUmqgyn0sU/j0pXw==" spinCount="100000" sheet="1" formatCells="0"/>
  <mergeCells count="22">
    <mergeCell ref="A3:D3"/>
    <mergeCell ref="A2:D2"/>
    <mergeCell ref="A4:D4"/>
    <mergeCell ref="A5:D5"/>
    <mergeCell ref="A6:D6"/>
    <mergeCell ref="A36:A38"/>
    <mergeCell ref="A20:A22"/>
    <mergeCell ref="A42:A44"/>
    <mergeCell ref="A39:A41"/>
    <mergeCell ref="A30:A32"/>
    <mergeCell ref="A27:A29"/>
    <mergeCell ref="A33:A35"/>
    <mergeCell ref="A7:D7"/>
    <mergeCell ref="N9:O9"/>
    <mergeCell ref="B9:C9"/>
    <mergeCell ref="A23:A26"/>
    <mergeCell ref="D9:F9"/>
    <mergeCell ref="A14:A16"/>
    <mergeCell ref="G9:I9"/>
    <mergeCell ref="B10:B11"/>
    <mergeCell ref="A17:A19"/>
    <mergeCell ref="O21:O22"/>
  </mergeCells>
  <conditionalFormatting sqref="H42:H45 H12:H26">
    <cfRule type="expression" dxfId="33" priority="20">
      <formula>IF(OR(H12="",H12&gt;=1),FALSE,TRUE)</formula>
    </cfRule>
  </conditionalFormatting>
  <conditionalFormatting sqref="O21 N21:N22 N23:O45 N12:O20">
    <cfRule type="expression" dxfId="32" priority="17">
      <formula>IF(OR(N12="Reject"), TRUE, FALSE)</formula>
    </cfRule>
  </conditionalFormatting>
  <conditionalFormatting sqref="O18">
    <cfRule type="expression" dxfId="31" priority="16">
      <formula>IF(O17="reject",TRUE,FALSE)</formula>
    </cfRule>
  </conditionalFormatting>
  <conditionalFormatting sqref="O19">
    <cfRule type="expression" dxfId="30" priority="15">
      <formula>IF(O17="Reject",TRUE,FALSE)</formula>
    </cfRule>
  </conditionalFormatting>
  <conditionalFormatting sqref="O21">
    <cfRule type="expression" dxfId="29" priority="14">
      <formula>IF(O20="reject",TRUE,FALSE)</formula>
    </cfRule>
  </conditionalFormatting>
  <conditionalFormatting sqref="O21 O24:O25 O28 O31 O34 O37 O40 O43">
    <cfRule type="expression" dxfId="28" priority="12">
      <formula>IF(O20="reject",TRUE,FALSE)</formula>
    </cfRule>
  </conditionalFormatting>
  <conditionalFormatting sqref="O29 O32 O35 O38 O41 O44">
    <cfRule type="expression" dxfId="27" priority="11">
      <formula>IF(O27="Reject",TRUE,FALSE)</formula>
    </cfRule>
  </conditionalFormatting>
  <conditionalFormatting sqref="I14:I44">
    <cfRule type="expression" dxfId="26" priority="10">
      <formula>IF(I14&lt;2,TRUE,FALSE)</formula>
    </cfRule>
  </conditionalFormatting>
  <conditionalFormatting sqref="O26">
    <cfRule type="expression" dxfId="25" priority="21">
      <formula>IF(O23="Reject",TRUE,FALSE)</formula>
    </cfRule>
  </conditionalFormatting>
  <conditionalFormatting sqref="N12:O13">
    <cfRule type="cellIs" dxfId="24" priority="9" operator="greaterThan">
      <formula>0.2</formula>
    </cfRule>
  </conditionalFormatting>
  <conditionalFormatting sqref="N14:O16">
    <cfRule type="cellIs" dxfId="23" priority="7" operator="greaterThan">
      <formula>228</formula>
    </cfRule>
    <cfRule type="cellIs" dxfId="22" priority="8" operator="lessThan">
      <formula>168</formula>
    </cfRule>
  </conditionalFormatting>
  <conditionalFormatting sqref="N17:O19">
    <cfRule type="cellIs" dxfId="21" priority="6" operator="equal">
      <formula>"Reject"</formula>
    </cfRule>
  </conditionalFormatting>
  <conditionalFormatting sqref="H27:H29">
    <cfRule type="expression" dxfId="20" priority="5">
      <formula>IF(OR(H27="",H27&gt;=1),FALSE,TRUE)</formula>
    </cfRule>
  </conditionalFormatting>
  <conditionalFormatting sqref="H30:H32">
    <cfRule type="expression" dxfId="19" priority="4">
      <formula>IF(OR(H30="",H30&gt;=1),FALSE,TRUE)</formula>
    </cfRule>
  </conditionalFormatting>
  <conditionalFormatting sqref="H33:H35">
    <cfRule type="expression" dxfId="18" priority="3">
      <formula>IF(OR(H33="",H33&gt;=1),FALSE,TRUE)</formula>
    </cfRule>
  </conditionalFormatting>
  <conditionalFormatting sqref="H36:H38">
    <cfRule type="expression" dxfId="17" priority="2">
      <formula>IF(OR(H36="",H36&gt;=1),FALSE,TRUE)</formula>
    </cfRule>
  </conditionalFormatting>
  <conditionalFormatting sqref="H39:H41">
    <cfRule type="expression" dxfId="16" priority="1">
      <formula>IF(OR(H39="",H39&gt;=1),FALSE,TRUE)</formula>
    </cfRule>
  </conditionalFormatting>
  <pageMargins left="0.3" right="1.0416666666666701E-2" top="0.89583333333333304" bottom="0.42708333333333298" header="0.3" footer="0.3"/>
  <pageSetup fitToHeight="0" orientation="landscape" r:id="rId1"/>
  <headerFooter>
    <oddHeader xml:space="preserve">&amp;R&amp;"Times New Roman,Regular"&amp;10Wastewater Treatment Plant Laboratory
&amp;"Times New Roman,Bold"BOD Benchsheet SM#5210 B (21st Edition)
&amp;"Times New Roman,Regular"Enter/Verify Data in Yellow Cells&amp;14
</oddHeader>
    <oddFooter>&amp;L&amp;"Calibri,Regular"&amp;8
&amp;D&amp;T&amp;R&amp;8
&amp;Z&amp;F</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D409-52A1-4A81-B197-F04C45D97EC0}">
  <sheetPr codeName="Sheet2"/>
  <dimension ref="A1:W66"/>
  <sheetViews>
    <sheetView topLeftCell="A45" zoomScale="150" zoomScaleNormal="150" workbookViewId="0">
      <selection activeCell="G55" sqref="G55"/>
    </sheetView>
  </sheetViews>
  <sheetFormatPr defaultColWidth="9.140625" defaultRowHeight="13.5" x14ac:dyDescent="0.3"/>
  <cols>
    <col min="1" max="1" width="3" style="1" customWidth="1"/>
    <col min="2" max="2" width="20.140625" style="1" customWidth="1"/>
    <col min="3" max="3" width="5.140625" style="1" bestFit="1" customWidth="1"/>
    <col min="4" max="9" width="8.85546875" style="1" customWidth="1"/>
    <col min="10" max="10" width="8.28515625" style="1" customWidth="1"/>
    <col min="11" max="11" width="10.7109375" style="1" customWidth="1"/>
    <col min="12" max="12" width="13.7109375" style="1" hidden="1" customWidth="1"/>
    <col min="13" max="13" width="20" style="1" hidden="1" customWidth="1"/>
    <col min="14" max="16" width="8.85546875" style="1" customWidth="1"/>
    <col min="17" max="17" width="12.5703125" style="1" customWidth="1"/>
    <col min="18" max="18" width="29.42578125" style="1" customWidth="1"/>
    <col min="19" max="19" width="6.42578125" style="1" customWidth="1"/>
    <col min="20" max="16384" width="9.140625" style="1"/>
  </cols>
  <sheetData>
    <row r="1" spans="1:23" ht="14.25" customHeight="1" thickBot="1" x14ac:dyDescent="0.35">
      <c r="A1" s="6" t="s">
        <v>20</v>
      </c>
      <c r="B1" s="23"/>
      <c r="C1" s="8"/>
      <c r="D1" s="4"/>
      <c r="E1" s="7"/>
      <c r="F1" s="25" t="s">
        <v>19</v>
      </c>
      <c r="G1" s="25" t="s">
        <v>17</v>
      </c>
      <c r="H1" s="25" t="s">
        <v>36</v>
      </c>
      <c r="I1" s="25" t="s">
        <v>18</v>
      </c>
      <c r="J1" s="25"/>
      <c r="K1" s="25"/>
      <c r="L1" s="25"/>
      <c r="M1" s="25"/>
      <c r="N1" s="25" t="s">
        <v>75</v>
      </c>
      <c r="O1" s="25" t="s">
        <v>21</v>
      </c>
      <c r="P1" s="25"/>
    </row>
    <row r="2" spans="1:23" ht="14.25" customHeight="1" x14ac:dyDescent="0.3">
      <c r="A2" s="217" t="s">
        <v>44</v>
      </c>
      <c r="B2" s="203"/>
      <c r="C2" s="203"/>
      <c r="D2" s="203"/>
      <c r="E2" s="21" t="s">
        <v>24</v>
      </c>
      <c r="F2" s="11"/>
      <c r="G2" s="12"/>
      <c r="H2" s="12"/>
      <c r="I2" s="15"/>
      <c r="J2" s="90"/>
      <c r="K2" s="90"/>
      <c r="L2" s="91"/>
      <c r="M2" s="91"/>
      <c r="N2" s="16"/>
      <c r="O2" s="31"/>
      <c r="P2" s="183"/>
    </row>
    <row r="3" spans="1:23" ht="14.25" customHeight="1" thickBot="1" x14ac:dyDescent="0.35">
      <c r="A3" s="216" t="s">
        <v>48</v>
      </c>
      <c r="B3" s="203"/>
      <c r="C3" s="203"/>
      <c r="D3" s="203"/>
      <c r="E3" s="21" t="s">
        <v>25</v>
      </c>
      <c r="F3" s="10"/>
      <c r="G3" s="13"/>
      <c r="H3" s="24"/>
      <c r="I3" s="14"/>
      <c r="J3" s="90"/>
      <c r="K3" s="90"/>
      <c r="L3" s="91"/>
      <c r="M3" s="91"/>
      <c r="N3" s="17"/>
      <c r="O3" s="92"/>
      <c r="P3" s="184"/>
      <c r="Q3" s="1" t="s">
        <v>99</v>
      </c>
    </row>
    <row r="4" spans="1:23" ht="14.25" customHeight="1" x14ac:dyDescent="0.3">
      <c r="A4" s="218" t="s">
        <v>34</v>
      </c>
      <c r="B4" s="219"/>
      <c r="C4" s="219"/>
      <c r="D4" s="219"/>
      <c r="E4" s="20"/>
      <c r="F4" s="18"/>
    </row>
    <row r="5" spans="1:23" ht="14.25" customHeight="1" thickBot="1" x14ac:dyDescent="0.35">
      <c r="A5" s="218" t="s">
        <v>37</v>
      </c>
      <c r="B5" s="219"/>
      <c r="C5" s="219"/>
      <c r="D5" s="219"/>
      <c r="E5" s="20"/>
      <c r="F5" s="101" t="s">
        <v>54</v>
      </c>
      <c r="G5" s="101"/>
      <c r="H5" s="101"/>
      <c r="I5" s="101"/>
      <c r="J5" s="101"/>
      <c r="K5" s="101"/>
      <c r="L5" s="101"/>
      <c r="M5" s="101"/>
      <c r="N5" s="101"/>
      <c r="O5" s="101"/>
      <c r="P5" s="101"/>
    </row>
    <row r="6" spans="1:23" ht="14.25" customHeight="1" thickBot="1" x14ac:dyDescent="0.35">
      <c r="A6" s="218" t="s">
        <v>35</v>
      </c>
      <c r="B6" s="219"/>
      <c r="C6" s="219"/>
      <c r="D6" s="219"/>
      <c r="E6" s="19"/>
      <c r="F6" s="19" t="s">
        <v>30</v>
      </c>
      <c r="G6" s="94"/>
      <c r="H6" s="19" t="s">
        <v>32</v>
      </c>
      <c r="I6" s="9" t="s">
        <v>33</v>
      </c>
      <c r="J6" s="94"/>
      <c r="K6"/>
      <c r="L6" s="9"/>
      <c r="M6" s="9"/>
      <c r="O6" s="26"/>
      <c r="P6" s="26"/>
    </row>
    <row r="7" spans="1:23" ht="14.25" customHeight="1" thickBot="1" x14ac:dyDescent="0.35">
      <c r="A7" s="202" t="str">
        <f>IF(OR(mgL_Seed_Depletion_Expected&lt;0.6,mgL_Seed_Depletion_Expected&gt;1),"Check seed volume.  Too much or not enough depletion."," ")</f>
        <v>Check seed volume.  Too much or not enough depletion.</v>
      </c>
      <c r="B7" s="203"/>
      <c r="C7" s="203"/>
      <c r="D7" s="203"/>
      <c r="E7" s="100"/>
      <c r="F7" s="19" t="s">
        <v>11</v>
      </c>
      <c r="G7" s="94" t="str">
        <f>IF(ISNUMBER(mL_Seed_Used_per_Sample),Seed_BOD_per_mL*mL_Seed_Used_per_Sample," ")</f>
        <v xml:space="preserve"> </v>
      </c>
      <c r="H7" s="93" t="s">
        <v>72</v>
      </c>
      <c r="I7" s="9"/>
      <c r="J7"/>
      <c r="K7"/>
      <c r="L7" s="9"/>
      <c r="M7" s="9"/>
      <c r="N7" s="7"/>
      <c r="O7" s="26"/>
      <c r="P7" s="26"/>
    </row>
    <row r="8" spans="1:23" ht="8.25" customHeight="1" thickBot="1" x14ac:dyDescent="0.35">
      <c r="A8" s="5"/>
      <c r="B8" s="5"/>
      <c r="C8" s="3"/>
      <c r="D8" s="3"/>
      <c r="E8" s="3"/>
      <c r="F8" s="3"/>
      <c r="G8" s="3"/>
      <c r="H8" s="3"/>
      <c r="I8" s="3"/>
      <c r="J8" s="3"/>
      <c r="K8" s="3"/>
      <c r="L8" s="2"/>
      <c r="M8" s="2"/>
      <c r="N8" s="2"/>
      <c r="O8" s="2"/>
      <c r="P8" s="2"/>
    </row>
    <row r="9" spans="1:23" ht="14.25" customHeight="1" thickBot="1" x14ac:dyDescent="0.35">
      <c r="A9"/>
      <c r="B9" s="204" t="s">
        <v>27</v>
      </c>
      <c r="C9" s="206"/>
      <c r="D9" s="204" t="s">
        <v>7</v>
      </c>
      <c r="E9" s="206"/>
      <c r="F9" s="205"/>
      <c r="G9" s="204" t="s">
        <v>8</v>
      </c>
      <c r="H9" s="206"/>
      <c r="I9" s="205"/>
      <c r="J9" s="22"/>
      <c r="K9" s="22"/>
      <c r="L9" s="22"/>
      <c r="M9" s="22"/>
      <c r="N9" s="204" t="s">
        <v>9</v>
      </c>
      <c r="O9" s="205"/>
      <c r="P9" s="185" t="s">
        <v>83</v>
      </c>
    </row>
    <row r="10" spans="1:23" ht="15" customHeight="1" x14ac:dyDescent="0.3">
      <c r="A10"/>
      <c r="B10" s="212" t="s">
        <v>52</v>
      </c>
      <c r="C10" s="41" t="s">
        <v>10</v>
      </c>
      <c r="D10" s="149" t="s">
        <v>22</v>
      </c>
      <c r="E10" s="75" t="s">
        <v>31</v>
      </c>
      <c r="F10" s="42" t="s">
        <v>11</v>
      </c>
      <c r="G10" s="149" t="s">
        <v>0</v>
      </c>
      <c r="H10" s="39" t="s">
        <v>1</v>
      </c>
      <c r="I10" s="166" t="s">
        <v>2</v>
      </c>
      <c r="J10" s="149" t="s">
        <v>4</v>
      </c>
      <c r="K10" s="40" t="s">
        <v>57</v>
      </c>
      <c r="L10" s="41" t="s">
        <v>5</v>
      </c>
      <c r="M10" s="127" t="s">
        <v>79</v>
      </c>
      <c r="N10" s="39" t="s">
        <v>12</v>
      </c>
      <c r="O10" s="42" t="s">
        <v>13</v>
      </c>
      <c r="P10" s="186"/>
      <c r="W10" s="98" t="str">
        <f>IF(O12&gt;0.2,"Seed blank failed. Do not report data."," ")</f>
        <v xml:space="preserve"> </v>
      </c>
    </row>
    <row r="11" spans="1:23" ht="15" customHeight="1" thickBot="1" x14ac:dyDescent="0.35">
      <c r="A11"/>
      <c r="B11" s="213"/>
      <c r="C11" s="43" t="s">
        <v>14</v>
      </c>
      <c r="D11" s="150" t="s">
        <v>23</v>
      </c>
      <c r="E11" s="76" t="s">
        <v>29</v>
      </c>
      <c r="F11" s="151" t="s">
        <v>38</v>
      </c>
      <c r="G11" s="150" t="s">
        <v>39</v>
      </c>
      <c r="H11" s="27" t="s">
        <v>40</v>
      </c>
      <c r="I11" s="167" t="s">
        <v>41</v>
      </c>
      <c r="J11" s="150" t="s">
        <v>56</v>
      </c>
      <c r="K11" s="28" t="s">
        <v>58</v>
      </c>
      <c r="L11" s="43" t="s">
        <v>59</v>
      </c>
      <c r="M11" s="128" t="s">
        <v>80</v>
      </c>
      <c r="N11" s="29" t="s">
        <v>42</v>
      </c>
      <c r="O11" s="30" t="s">
        <v>43</v>
      </c>
      <c r="P11" s="187"/>
      <c r="W11" s="99" t="str">
        <f>IF(OR(GGA1_Result&lt;168,GGA1_Result&gt;228),"A GGA Standard is out of limits."," ")</f>
        <v>A GGA Standard is out of limits.</v>
      </c>
    </row>
    <row r="12" spans="1:23" s="89" customFormat="1" ht="15.75" customHeight="1" x14ac:dyDescent="0.3">
      <c r="A12"/>
      <c r="B12" s="177" t="s">
        <v>3</v>
      </c>
      <c r="C12" s="144" t="s">
        <v>84</v>
      </c>
      <c r="D12" s="152">
        <v>300</v>
      </c>
      <c r="E12" s="198">
        <v>1</v>
      </c>
      <c r="F12" s="192">
        <v>0</v>
      </c>
      <c r="G12" s="169">
        <v>7.52</v>
      </c>
      <c r="H12" s="50">
        <v>7.51</v>
      </c>
      <c r="I12" s="174"/>
      <c r="J12" s="181"/>
      <c r="K12" s="178"/>
      <c r="L12" s="51"/>
      <c r="M12" s="130"/>
      <c r="N12" s="52"/>
      <c r="O12" s="77"/>
      <c r="P12" s="188"/>
      <c r="Q12" s="1"/>
      <c r="W12" s="98" t="str">
        <f>IF(OR(GGA3_Result&lt;168,GGA3_Result&gt;228),"A GGA Standard is out of limits."," ")</f>
        <v>A GGA Standard is out of limits.</v>
      </c>
    </row>
    <row r="13" spans="1:23" ht="15.75" customHeight="1" thickBot="1" x14ac:dyDescent="0.35">
      <c r="A13"/>
      <c r="B13" s="179" t="s">
        <v>3</v>
      </c>
      <c r="C13" s="146" t="s">
        <v>85</v>
      </c>
      <c r="D13" s="156">
        <v>300</v>
      </c>
      <c r="E13" s="199">
        <v>1</v>
      </c>
      <c r="F13" s="193">
        <v>0</v>
      </c>
      <c r="G13" s="172">
        <v>7.5</v>
      </c>
      <c r="H13" s="56">
        <v>7.28</v>
      </c>
      <c r="I13" s="173"/>
      <c r="J13" s="182"/>
      <c r="K13" s="180"/>
      <c r="L13" s="57"/>
      <c r="M13" s="131"/>
      <c r="N13" s="58"/>
      <c r="O13" s="78"/>
      <c r="P13" s="188" t="e">
        <f>AVERAGE(O12:O13)</f>
        <v>#DIV/0!</v>
      </c>
      <c r="W13" s="143"/>
    </row>
    <row r="14" spans="1:23" ht="15.75" customHeight="1" x14ac:dyDescent="0.3">
      <c r="A14" s="207" t="s">
        <v>6</v>
      </c>
      <c r="B14" s="47" t="s">
        <v>47</v>
      </c>
      <c r="C14" s="144" t="s">
        <v>86</v>
      </c>
      <c r="D14" s="152">
        <v>4</v>
      </c>
      <c r="E14" s="200">
        <v>1.3333333333333334E-2</v>
      </c>
      <c r="F14" s="153">
        <v>4</v>
      </c>
      <c r="G14" s="169">
        <v>7.49</v>
      </c>
      <c r="H14" s="50">
        <v>3.7</v>
      </c>
      <c r="I14" s="168"/>
      <c r="J14" s="162"/>
      <c r="K14" s="139"/>
      <c r="L14" s="44"/>
      <c r="M14" s="129"/>
      <c r="N14" s="45"/>
      <c r="O14" s="46"/>
      <c r="P14" s="188"/>
    </row>
    <row r="15" spans="1:23" ht="15.75" customHeight="1" x14ac:dyDescent="0.3">
      <c r="A15" s="211"/>
      <c r="B15" s="137" t="s">
        <v>46</v>
      </c>
      <c r="C15" s="145" t="s">
        <v>87</v>
      </c>
      <c r="D15" s="154">
        <v>6</v>
      </c>
      <c r="E15" s="197">
        <v>0.02</v>
      </c>
      <c r="F15" s="155">
        <v>4</v>
      </c>
      <c r="G15" s="170">
        <v>7.48</v>
      </c>
      <c r="H15" s="138">
        <v>2.96</v>
      </c>
      <c r="I15" s="171"/>
      <c r="J15" s="163"/>
      <c r="K15" s="73"/>
      <c r="L15" s="65"/>
      <c r="M15" s="140"/>
      <c r="N15" s="141"/>
      <c r="O15" s="142"/>
      <c r="P15" s="188"/>
    </row>
    <row r="16" spans="1:23" s="89" customFormat="1" ht="15.75" customHeight="1" thickBot="1" x14ac:dyDescent="0.35">
      <c r="A16" s="210"/>
      <c r="B16" s="53" t="s">
        <v>81</v>
      </c>
      <c r="C16" s="146" t="s">
        <v>88</v>
      </c>
      <c r="D16" s="156">
        <v>8</v>
      </c>
      <c r="E16" s="199">
        <v>2.6666666666666668E-2</v>
      </c>
      <c r="F16" s="157">
        <v>4</v>
      </c>
      <c r="G16" s="172">
        <v>7.51</v>
      </c>
      <c r="H16" s="56">
        <v>1.42</v>
      </c>
      <c r="I16" s="173"/>
      <c r="J16" s="164"/>
      <c r="K16" s="72"/>
      <c r="L16" s="57"/>
      <c r="M16" s="131"/>
      <c r="N16" s="58"/>
      <c r="O16" s="78"/>
      <c r="P16" s="188" t="e">
        <f>AVERAGE(O14:O16)</f>
        <v>#DIV/0!</v>
      </c>
      <c r="Q16" s="1"/>
    </row>
    <row r="17" spans="1:17" ht="15.75" customHeight="1" x14ac:dyDescent="0.3">
      <c r="A17" s="207" t="s">
        <v>28</v>
      </c>
      <c r="B17" s="47" t="s">
        <v>55</v>
      </c>
      <c r="C17" s="144" t="s">
        <v>89</v>
      </c>
      <c r="D17" s="152">
        <v>10</v>
      </c>
      <c r="E17" s="198">
        <v>3.3333333333333333E-2</v>
      </c>
      <c r="F17" s="194"/>
      <c r="G17" s="169">
        <v>7.52</v>
      </c>
      <c r="H17" s="50">
        <v>5.18</v>
      </c>
      <c r="I17" s="174"/>
      <c r="J17" s="165"/>
      <c r="K17" s="71"/>
      <c r="L17" s="51"/>
      <c r="M17" s="132"/>
      <c r="N17" s="60"/>
      <c r="O17" s="46"/>
      <c r="P17" s="188"/>
    </row>
    <row r="18" spans="1:17" ht="15.75" customHeight="1" x14ac:dyDescent="0.3">
      <c r="A18" s="208"/>
      <c r="B18" s="61" t="str">
        <f>IF(B17="","",B17)</f>
        <v>Polyseed</v>
      </c>
      <c r="C18" s="147" t="s">
        <v>90</v>
      </c>
      <c r="D18" s="158">
        <v>15</v>
      </c>
      <c r="E18" s="197">
        <v>0.05</v>
      </c>
      <c r="F18" s="195"/>
      <c r="G18" s="175">
        <v>7.48</v>
      </c>
      <c r="H18" s="64">
        <v>3.65</v>
      </c>
      <c r="I18" s="171"/>
      <c r="J18" s="163"/>
      <c r="K18" s="73"/>
      <c r="L18" s="65"/>
      <c r="M18" s="133"/>
      <c r="N18" s="66"/>
      <c r="O18" s="87" t="s">
        <v>61</v>
      </c>
      <c r="P18" s="189"/>
    </row>
    <row r="19" spans="1:17" ht="15.75" customHeight="1" thickBot="1" x14ac:dyDescent="0.35">
      <c r="A19" s="210"/>
      <c r="B19" s="53" t="str">
        <f>IF(B18="","",B18)</f>
        <v>Polyseed</v>
      </c>
      <c r="C19" s="146" t="s">
        <v>91</v>
      </c>
      <c r="D19" s="158">
        <v>20</v>
      </c>
      <c r="E19" s="199">
        <v>6.6666666666666666E-2</v>
      </c>
      <c r="F19" s="196"/>
      <c r="G19" s="175">
        <v>7.5</v>
      </c>
      <c r="H19" s="64">
        <v>2.8</v>
      </c>
      <c r="I19" s="173"/>
      <c r="J19" s="164"/>
      <c r="K19" s="72"/>
      <c r="L19" s="57"/>
      <c r="M19" s="133"/>
      <c r="N19" s="68"/>
      <c r="O19" s="88" t="s">
        <v>62</v>
      </c>
      <c r="P19" s="188"/>
    </row>
    <row r="20" spans="1:17" s="89" customFormat="1" ht="15.75" customHeight="1" x14ac:dyDescent="0.3">
      <c r="A20" s="207" t="s">
        <v>45</v>
      </c>
      <c r="B20" s="59" t="s">
        <v>73</v>
      </c>
      <c r="C20" s="144" t="s">
        <v>92</v>
      </c>
      <c r="D20" s="152">
        <v>150</v>
      </c>
      <c r="E20" s="198">
        <v>0.5</v>
      </c>
      <c r="F20" s="153">
        <v>4</v>
      </c>
      <c r="G20" s="169">
        <v>7.5</v>
      </c>
      <c r="H20" s="50">
        <v>5.12</v>
      </c>
      <c r="I20" s="174"/>
      <c r="J20" s="165"/>
      <c r="K20" s="71"/>
      <c r="L20" s="51"/>
      <c r="M20" s="134"/>
      <c r="N20" s="60"/>
      <c r="O20" s="46" t="str">
        <f>IFERROR(IF(AtLeast1EffluentResult="","",AVERAGE(N20:N22)),"Reject")</f>
        <v/>
      </c>
      <c r="P20" s="188"/>
      <c r="Q20" s="1"/>
    </row>
    <row r="21" spans="1:17" ht="15.75" customHeight="1" x14ac:dyDescent="0.3">
      <c r="A21" s="208"/>
      <c r="B21" s="85" t="str">
        <f>IF(B20="","",B20)</f>
        <v>Effluent</v>
      </c>
      <c r="C21" s="147" t="s">
        <v>93</v>
      </c>
      <c r="D21" s="158">
        <v>200</v>
      </c>
      <c r="E21" s="197">
        <v>0.66666666666666663</v>
      </c>
      <c r="F21" s="159">
        <v>4</v>
      </c>
      <c r="G21" s="175">
        <v>7.49</v>
      </c>
      <c r="H21" s="64">
        <v>4.2</v>
      </c>
      <c r="I21" s="171"/>
      <c r="J21" s="163"/>
      <c r="K21" s="73"/>
      <c r="L21" s="65"/>
      <c r="M21" s="135"/>
      <c r="N21" s="66"/>
      <c r="O21" s="214" t="str">
        <f>IF(O20&lt;2,"Report &lt;2 mg/L"," ")</f>
        <v xml:space="preserve"> </v>
      </c>
      <c r="P21" s="190"/>
    </row>
    <row r="22" spans="1:17" ht="15.75" customHeight="1" thickBot="1" x14ac:dyDescent="0.35">
      <c r="A22" s="210"/>
      <c r="B22" s="86" t="str">
        <f>IF(B21="","",B21)</f>
        <v>Effluent</v>
      </c>
      <c r="C22" s="146" t="s">
        <v>94</v>
      </c>
      <c r="D22" s="156">
        <v>240</v>
      </c>
      <c r="E22" s="199">
        <v>0.8</v>
      </c>
      <c r="F22" s="157">
        <v>4</v>
      </c>
      <c r="G22" s="172">
        <v>7.48</v>
      </c>
      <c r="H22" s="56">
        <v>3.46</v>
      </c>
      <c r="I22" s="173"/>
      <c r="J22" s="164"/>
      <c r="K22" s="72"/>
      <c r="L22" s="57"/>
      <c r="M22" s="136"/>
      <c r="N22" s="68"/>
      <c r="O22" s="215"/>
      <c r="P22" s="188"/>
    </row>
    <row r="23" spans="1:17" ht="15.75" customHeight="1" x14ac:dyDescent="0.3">
      <c r="A23" s="207" t="s">
        <v>26</v>
      </c>
      <c r="B23" s="59" t="s">
        <v>74</v>
      </c>
      <c r="C23" s="144" t="s">
        <v>95</v>
      </c>
      <c r="D23" s="152">
        <v>3</v>
      </c>
      <c r="E23" s="198">
        <v>0.01</v>
      </c>
      <c r="F23" s="153">
        <v>0</v>
      </c>
      <c r="G23" s="169">
        <v>7.51</v>
      </c>
      <c r="H23" s="50">
        <v>3.5</v>
      </c>
      <c r="I23" s="174"/>
      <c r="J23" s="165"/>
      <c r="K23" s="71"/>
      <c r="L23" s="51"/>
      <c r="M23" s="134"/>
      <c r="N23" s="60"/>
      <c r="O23" s="46" t="str">
        <f>IFERROR(IF(AtLeast1InfluentResult="","",AVERAGE(N23:N26)),"Reject")</f>
        <v/>
      </c>
      <c r="P23" s="188"/>
    </row>
    <row r="24" spans="1:17" ht="15.75" customHeight="1" x14ac:dyDescent="0.3">
      <c r="A24" s="208"/>
      <c r="B24" s="85" t="str">
        <f>IF(B23="","",B23)</f>
        <v>Influent</v>
      </c>
      <c r="C24" s="147" t="s">
        <v>96</v>
      </c>
      <c r="D24" s="158">
        <v>5</v>
      </c>
      <c r="E24" s="197">
        <v>1.6666666666666666E-2</v>
      </c>
      <c r="F24" s="159">
        <v>0</v>
      </c>
      <c r="G24" s="175">
        <v>7.52</v>
      </c>
      <c r="H24" s="64">
        <v>2.1</v>
      </c>
      <c r="I24" s="171"/>
      <c r="J24" s="163"/>
      <c r="K24" s="73"/>
      <c r="L24" s="65"/>
      <c r="M24" s="135"/>
      <c r="N24" s="66"/>
      <c r="O24" s="67"/>
      <c r="P24" s="191"/>
    </row>
    <row r="25" spans="1:17" ht="15.75" customHeight="1" x14ac:dyDescent="0.3">
      <c r="A25" s="209"/>
      <c r="B25" s="85" t="str">
        <f>IF(B24="","",B24)</f>
        <v>Influent</v>
      </c>
      <c r="C25" s="148" t="s">
        <v>97</v>
      </c>
      <c r="D25" s="160">
        <v>7</v>
      </c>
      <c r="E25" s="201">
        <v>2.3333333333333334E-2</v>
      </c>
      <c r="F25" s="161">
        <v>0</v>
      </c>
      <c r="G25" s="176">
        <v>7.48</v>
      </c>
      <c r="H25" s="79">
        <v>1.65</v>
      </c>
      <c r="I25" s="171"/>
      <c r="J25" s="163"/>
      <c r="K25" s="81"/>
      <c r="L25" s="80"/>
      <c r="M25" s="135"/>
      <c r="N25" s="66"/>
      <c r="O25" s="67"/>
      <c r="P25" s="191"/>
    </row>
    <row r="26" spans="1:17" ht="15.75" customHeight="1" thickBot="1" x14ac:dyDescent="0.35">
      <c r="A26" s="210"/>
      <c r="B26" s="86" t="str">
        <f>IF(B24="","",B24)</f>
        <v>Influent</v>
      </c>
      <c r="C26" s="146" t="s">
        <v>98</v>
      </c>
      <c r="D26" s="156">
        <v>10</v>
      </c>
      <c r="E26" s="199">
        <v>3.3333333333333333E-2</v>
      </c>
      <c r="F26" s="157">
        <v>0</v>
      </c>
      <c r="G26" s="172">
        <v>7.5</v>
      </c>
      <c r="H26" s="56">
        <v>0.93</v>
      </c>
      <c r="I26" s="173"/>
      <c r="J26" s="164"/>
      <c r="K26" s="72"/>
      <c r="L26" s="57"/>
      <c r="M26" s="136"/>
      <c r="N26" s="68"/>
      <c r="O26" s="69"/>
      <c r="P26" s="188"/>
    </row>
    <row r="27" spans="1:17" ht="15.75" customHeight="1" x14ac:dyDescent="0.3">
      <c r="A27" s="207" t="s">
        <v>15</v>
      </c>
      <c r="B27" s="59" t="s">
        <v>15</v>
      </c>
      <c r="C27" s="144"/>
      <c r="D27" s="152"/>
      <c r="E27" s="198" t="str">
        <f>IF(ISNUMBER(Sample3_1st_volume),Sample3_1st_volume/300," ")</f>
        <v xml:space="preserve"> </v>
      </c>
      <c r="F27" s="153"/>
      <c r="G27" s="169"/>
      <c r="H27" s="50"/>
      <c r="I27" s="174" t="str">
        <f>IF(OR(Sample3_1st_DOi="",Sample3_1st_DOf=""),"",Sample3_1st_DOi-Sample3_1st_DOf)</f>
        <v/>
      </c>
      <c r="J27" s="165"/>
      <c r="K27" s="71"/>
      <c r="L27" s="51"/>
      <c r="M27" s="134"/>
      <c r="N27" s="60" t="str">
        <f>IFERROR(IF(OR(Sample3_1st_volume="",Sample3_1st_Depletion="",Sample3_1st_DOf=""),"",IF(Sample3_1st_DepletionOK="No","Reject",300/Sample3_1st_volume*(Sample3_1st_Depletion-(Sample3_1st_Seed_Volume*Seed_BOD_per_mL)))),300/Sample3_1st_volume*Sample3_1st_Depletion)</f>
        <v/>
      </c>
      <c r="O27" s="46" t="str">
        <f>IFERROR(IF(AtLeast1Sample3Result="","",AVERAGE(N27:N29)),"Reject")</f>
        <v/>
      </c>
      <c r="P27" s="188"/>
    </row>
    <row r="28" spans="1:17" ht="15.75" customHeight="1" x14ac:dyDescent="0.3">
      <c r="A28" s="208"/>
      <c r="B28" s="85" t="str">
        <f>IF(B27="","",B27)</f>
        <v>Sample 3</v>
      </c>
      <c r="C28" s="147"/>
      <c r="D28" s="158"/>
      <c r="E28" s="197" t="str">
        <f>IF(ISNUMBER(Sample3_2nd_Volume),Sample3_2nd_Volume/300," ")</f>
        <v xml:space="preserve"> </v>
      </c>
      <c r="F28" s="159"/>
      <c r="G28" s="175"/>
      <c r="H28" s="64"/>
      <c r="I28" s="171" t="str">
        <f>IF(OR(Sample3_2nd_DOi="",Sample3_2nd_DOf=""),"",Sample3_2nd_DOi-Sample3_2nd_DOf)</f>
        <v/>
      </c>
      <c r="J28" s="163"/>
      <c r="K28" s="73"/>
      <c r="L28" s="65"/>
      <c r="M28" s="135"/>
      <c r="N28" s="66" t="str">
        <f>IFERROR(IF(OR(Sample3_2nd_Volume="",Sample3_2nd_Depletion="",Sample3_2nd_DOf=""),"",IF(Sample3_2nd_DepletionOK="No","Reject",300/Sample3_2nd_Volume*(Sample3_2nd_Depletion-(Sample3_2nd_Seed_Volume*Seed_BOD_per_mL)))),300/Sample3_2nd_Volume*Sample3_2nd_Depletion)</f>
        <v/>
      </c>
      <c r="O28" s="67"/>
      <c r="P28" s="191"/>
    </row>
    <row r="29" spans="1:17" s="2" customFormat="1" ht="15.75" customHeight="1" thickBot="1" x14ac:dyDescent="0.3">
      <c r="A29" s="210"/>
      <c r="B29" s="86" t="str">
        <f>IF(B28="","",B28)</f>
        <v>Sample 3</v>
      </c>
      <c r="C29" s="146"/>
      <c r="D29" s="156"/>
      <c r="E29" s="199" t="str">
        <f>IF(ISNUMBER(Sample3_3rd_Volume),Sample3_3rd_Volume/300," ")</f>
        <v xml:space="preserve"> </v>
      </c>
      <c r="F29" s="157"/>
      <c r="G29" s="172"/>
      <c r="H29" s="56"/>
      <c r="I29" s="173" t="str">
        <f>IF(OR(Sample3_3rd_DOi="",Sample3_3rd_DOf=""),"",Sample3_3rd_DOi-Sample3_3rd_DOf)</f>
        <v/>
      </c>
      <c r="J29" s="164"/>
      <c r="K29" s="72"/>
      <c r="L29" s="57"/>
      <c r="M29" s="136"/>
      <c r="N29" s="68" t="str">
        <f>IFERROR(IF(OR(Sample3_3rd_Volume="",Sample3_3rd_Depletion="",Sample3_3rd_DOf=""),"",IF(Sample3_3rd_DepletionOK="No","Reject",300/Sample3_3rd_Volume*(Sample3_3rd_Depletion-(Sample3_3rd_Seed_Volume*Seed_BOD_per_mL)))),300/Sample3_3rd_Volume*Sample3_3rd_Depletion)</f>
        <v/>
      </c>
      <c r="O29" s="69"/>
      <c r="P29" s="188"/>
    </row>
    <row r="30" spans="1:17" s="2" customFormat="1" ht="15.75" customHeight="1" x14ac:dyDescent="0.25">
      <c r="A30" s="207" t="s">
        <v>16</v>
      </c>
      <c r="B30" s="59" t="s">
        <v>16</v>
      </c>
      <c r="C30" s="144"/>
      <c r="D30" s="152"/>
      <c r="E30" s="198" t="str">
        <f>IF(ISNUMBER(Sample4_1st_Volume),Sample4_1st_Volume/300," ")</f>
        <v xml:space="preserve"> </v>
      </c>
      <c r="F30" s="153"/>
      <c r="G30" s="169"/>
      <c r="H30" s="50"/>
      <c r="I30" s="174" t="str">
        <f>IF(OR(Sample4_1st_DOi="",Sample4_1st_DOf=""),"",Sample4_1st_DOi-Sample4_1st_DOf)</f>
        <v/>
      </c>
      <c r="J30" s="165"/>
      <c r="K30" s="71"/>
      <c r="L30" s="51"/>
      <c r="M30" s="134"/>
      <c r="N30" s="60" t="str">
        <f>IFERROR(IF(OR(Sample4_1st_Volume="",Sample4_1st_Depletion="",Sample4_1st_DOf=""),"",IF(Sample4_1st_DepletionOK="No","Reject",300/Sample4_1st_Volume*(Sample4_1st_Depletion-(Sample4_1st_Seed_Volume*Seed_BOD_per_mL)))),300/Sample4_1st_Volume*Sample4_1st_Depletion)</f>
        <v/>
      </c>
      <c r="O30" s="46" t="str">
        <f>IFERROR(IF(AtLeast1Sample4Result="","",AVERAGE(N30:N32)),"Reject")</f>
        <v/>
      </c>
      <c r="P30" s="188"/>
    </row>
    <row r="31" spans="1:17" s="2" customFormat="1" ht="15.75" customHeight="1" x14ac:dyDescent="0.25">
      <c r="A31" s="208"/>
      <c r="B31" s="85" t="str">
        <f>IF(B30="","",B30)</f>
        <v>Sample 4</v>
      </c>
      <c r="C31" s="147"/>
      <c r="D31" s="158"/>
      <c r="E31" s="197" t="str">
        <f>IF(ISNUMBER(Sample4_2nd_Volume),Sample4_2nd_Volume/300," ")</f>
        <v xml:space="preserve"> </v>
      </c>
      <c r="F31" s="159"/>
      <c r="G31" s="175"/>
      <c r="H31" s="64"/>
      <c r="I31" s="171" t="str">
        <f>IF(OR(Sample4_2nd_DOi="",Sample4_2nd_DOf=""),"",Sample4_2nd_DOi-Sample4_2nd_DOf)</f>
        <v/>
      </c>
      <c r="J31" s="163"/>
      <c r="K31" s="73"/>
      <c r="L31" s="65"/>
      <c r="M31" s="135"/>
      <c r="N31" s="66" t="str">
        <f>IFERROR(IF(OR(Sample4_2nd_Volume="",Sample4_2nd_Depletion="",Sample4_2nd_DOf=""),"",IF(Sample4_2nd_DepletionOK="No","Reject",300/Sample4_2nd_Volume*(Sample4_2nd_Depletion-(Sample4_2nd_Seed_Volume*Seed_BOD_per_mL)))),300/Sample4_2nd_Volume*Sample4_2nd_Depletion)</f>
        <v/>
      </c>
      <c r="O31" s="67"/>
      <c r="P31" s="191"/>
    </row>
    <row r="32" spans="1:17" ht="15.75" customHeight="1" thickBot="1" x14ac:dyDescent="0.35">
      <c r="A32" s="210"/>
      <c r="B32" s="86" t="str">
        <f>IF(B31="","",B31)</f>
        <v>Sample 4</v>
      </c>
      <c r="C32" s="146"/>
      <c r="D32" s="156"/>
      <c r="E32" s="199" t="str">
        <f>IF(ISNUMBER(Sample4_3rd_Volume),Sample4_3rd_Volume/300," ")</f>
        <v xml:space="preserve"> </v>
      </c>
      <c r="F32" s="157"/>
      <c r="G32" s="172"/>
      <c r="H32" s="56"/>
      <c r="I32" s="173" t="str">
        <f>IF(OR(Sample4_3rd_DOi="",Sample4_3rd_DOf=""),"",Sample4_3rd_DOi-Sample4_3rd_DOf)</f>
        <v/>
      </c>
      <c r="J32" s="164"/>
      <c r="K32" s="72"/>
      <c r="L32" s="57"/>
      <c r="M32" s="136"/>
      <c r="N32" s="68" t="str">
        <f>IFERROR(IF(OR(Sample4_3rd_Volume="",Sample4_3rd_Depletion="",Sample4_3rd_DOf=""),"",IF(Sample4_3rd_DepletionOK="No","Reject",300/Sample4_3rd_Volume*(Sample4_3rd_Depletion-(Sample4_3rd_Seed_Volume*Seed_BOD_per_mL)))),300/Sample4_3rd_Volume*Sample4_3rd_Depletion)</f>
        <v/>
      </c>
      <c r="O32" s="69"/>
      <c r="P32" s="188"/>
    </row>
    <row r="33" spans="1:16" ht="15.75" customHeight="1" x14ac:dyDescent="0.3">
      <c r="A33" s="207" t="s">
        <v>49</v>
      </c>
      <c r="B33" s="59" t="s">
        <v>49</v>
      </c>
      <c r="C33" s="144"/>
      <c r="D33" s="152"/>
      <c r="E33" s="198" t="str">
        <f>IF(ISNUMBER(Sample5_1st_Volume),Sample5_1st_Volume/300," ")</f>
        <v xml:space="preserve"> </v>
      </c>
      <c r="F33" s="153"/>
      <c r="G33" s="169"/>
      <c r="H33" s="50"/>
      <c r="I33" s="174" t="str">
        <f>IF(OR(Sample5_1st_DOi="",Sample5_1st_DOf=""),"",Sample5_1st_DOi-Sample5_1st_DOf)</f>
        <v/>
      </c>
      <c r="J33" s="165"/>
      <c r="K33" s="73"/>
      <c r="L33" s="51"/>
      <c r="M33" s="134"/>
      <c r="N33" s="60" t="str">
        <f>IFERROR(IF(OR(Sample5_1st_Volume="",Sample5_1st_Depletion="",Sample5_1st_DOf=""),"",IF(Sample5_1st_DepletionOK="No","Reject",300/Sample5_1st_Volume*(Sample5_1st_Depletion-(Sample5_1st_Seed_Volume*Seed_BOD_per_mL)))),300/Sample5_1st_Volume*Sample5_1st_Depletion)</f>
        <v/>
      </c>
      <c r="O33" s="46" t="str">
        <f>IFERROR(IF(AtLeast1Sample5Result="","",AVERAGE(N33:N35)),"Reject")</f>
        <v/>
      </c>
      <c r="P33" s="188"/>
    </row>
    <row r="34" spans="1:16" ht="15.75" customHeight="1" x14ac:dyDescent="0.3">
      <c r="A34" s="208"/>
      <c r="B34" s="85" t="str">
        <f>IF(B33="","",B33)</f>
        <v>Sample 5</v>
      </c>
      <c r="C34" s="147"/>
      <c r="D34" s="158"/>
      <c r="E34" s="197" t="str">
        <f>IF(ISNUMBER(Sample5_2nd_Volume),Sample5_2nd_Volume/300," ")</f>
        <v xml:space="preserve"> </v>
      </c>
      <c r="F34" s="159"/>
      <c r="G34" s="175"/>
      <c r="H34" s="64"/>
      <c r="I34" s="171" t="str">
        <f>IF(OR(Sample5_2nd_DOi="",Sample5_2nd_DOf=""),"",Sample5_2nd_DOi-Sample5_2nd_DOf)</f>
        <v/>
      </c>
      <c r="J34" s="163"/>
      <c r="K34" s="73"/>
      <c r="L34" s="65"/>
      <c r="M34" s="135"/>
      <c r="N34" s="66" t="str">
        <f>IFERROR(IF(OR(Sample5_2nd_Volume="",Sample5_2nd_Depletion="",Sample5_2nd_DOf=""),"",IF(Sample5_2nd_DepletionOK="No","Reject",300/Sample5_2nd_Volume*(Sample5_2nd_Depletion-(Sample5_2nd_Seed_Volume*Seed_BOD_per_mL)))),300/Sample5_2nd_Volume*Sample5_2nd_Depletion)</f>
        <v/>
      </c>
      <c r="O34" s="67"/>
      <c r="P34" s="191"/>
    </row>
    <row r="35" spans="1:16" ht="15.75" customHeight="1" thickBot="1" x14ac:dyDescent="0.35">
      <c r="A35" s="210"/>
      <c r="B35" s="86" t="str">
        <f>IF(B34="","",B34)</f>
        <v>Sample 5</v>
      </c>
      <c r="C35" s="146"/>
      <c r="D35" s="156"/>
      <c r="E35" s="199" t="str">
        <f>IF(ISNUMBER(Sample5_3rd_Volume),Sample5_3rd_Volume/300," ")</f>
        <v xml:space="preserve"> </v>
      </c>
      <c r="F35" s="157"/>
      <c r="G35" s="172"/>
      <c r="H35" s="56"/>
      <c r="I35" s="173" t="str">
        <f>IF(OR(Sample5_3rd_DOi="",Sample5_3rd_DOf=""),"",Sample5_3rd_DOi-Sample5_3rd_DOf)</f>
        <v/>
      </c>
      <c r="J35" s="164"/>
      <c r="K35" s="72"/>
      <c r="L35" s="57"/>
      <c r="M35" s="136"/>
      <c r="N35" s="68" t="str">
        <f>IFERROR(IF(OR(Sample5_3rd_Volume="",Sample5_3rd_Depletion="",Sample5_3rd_DOf=""),"",IF(Sample5_3rd_DepletionOK="No","Reject",300/Sample5_3rd_Volume*(Sample5_3rd_Depletion-(Sample5_3rd_Seed_Volume*Seed_BOD_per_mL)))),300/Sample5_3rd_Volume*Sample5_3rd_Depletion)</f>
        <v/>
      </c>
      <c r="O35" s="69"/>
      <c r="P35" s="191"/>
    </row>
    <row r="36" spans="1:16" ht="15.75" customHeight="1" x14ac:dyDescent="0.3">
      <c r="A36" s="207" t="s">
        <v>50</v>
      </c>
      <c r="B36" s="59" t="s">
        <v>50</v>
      </c>
      <c r="C36" s="144"/>
      <c r="D36" s="152"/>
      <c r="E36" s="198" t="str">
        <f>IF(ISNUMBER(Sample6_1st_Volume),Sample6_1st_Volume/300," ")</f>
        <v xml:space="preserve"> </v>
      </c>
      <c r="F36" s="153"/>
      <c r="G36" s="169"/>
      <c r="H36" s="50"/>
      <c r="I36" s="174" t="str">
        <f>IF(OR(Sample6_1st_DOi="",Sample6_1st_DOf=""),"",Sample6_1st_DOi-Sample6_1st_DOf)</f>
        <v/>
      </c>
      <c r="J36" s="165"/>
      <c r="K36" s="71"/>
      <c r="L36" s="51"/>
      <c r="M36" s="134"/>
      <c r="N36" s="60" t="str">
        <f>IFERROR(IF(OR(Sample6_1st_Volume="",Sample6_1st_Depletion="",Sample6_1st_DOf=""),"",IF(Sample6_1st_DepletionOK="No","Reject",300/Sample6_1st_Volume*(Sample6_1st_Depletion-(Sample6_1st_Seed_Volume*Seed_BOD_per_mL)))),300/Sample6_1st_Volume*Sample6_1st_Depletion)</f>
        <v/>
      </c>
      <c r="O36" s="46" t="str">
        <f>IFERROR(IF(AtLeast1Sample6Result="","",AVERAGE(N36:N38)),"Reject")</f>
        <v/>
      </c>
      <c r="P36" s="188"/>
    </row>
    <row r="37" spans="1:16" ht="15.75" customHeight="1" x14ac:dyDescent="0.3">
      <c r="A37" s="208"/>
      <c r="B37" s="85" t="str">
        <f>IF(B36="","",B36)</f>
        <v>Sample 6</v>
      </c>
      <c r="C37" s="147"/>
      <c r="D37" s="158"/>
      <c r="E37" s="197" t="str">
        <f>IF(ISNUMBER(Sample6_2nd_Volume),Sample6_2nd_Volume/300," ")</f>
        <v xml:space="preserve"> </v>
      </c>
      <c r="F37" s="159"/>
      <c r="G37" s="175"/>
      <c r="H37" s="64"/>
      <c r="I37" s="171" t="str">
        <f>IF(OR(Sample6_2nd_DOi="",Sample6_2nd_DOf=""),"",Sample6_2nd_DOi-Sample6_2nd_DOf)</f>
        <v/>
      </c>
      <c r="J37" s="163"/>
      <c r="K37" s="73"/>
      <c r="L37" s="65"/>
      <c r="M37" s="135"/>
      <c r="N37" s="66" t="str">
        <f>IFERROR(IF(OR(Sample6_2nd_Volume="",Sample6_2nd_Depletion="",Sample6_2nd_DOf=""),"",IF(Sample6_2nd_DepletionOK="No","Reject",300/Sample6_2nd_Volume*(Sample6_2nd_Depletion-(Sample6_2nd_Seed_Volume*Seed_BOD_per_mL)))),300/Sample6_2nd_Volume*Sample6_2nd_Depletion)</f>
        <v/>
      </c>
      <c r="O37" s="67"/>
      <c r="P37" s="191"/>
    </row>
    <row r="38" spans="1:16" ht="15.75" customHeight="1" thickBot="1" x14ac:dyDescent="0.35">
      <c r="A38" s="210"/>
      <c r="B38" s="86" t="str">
        <f>IF(B37="","",B37)</f>
        <v>Sample 6</v>
      </c>
      <c r="C38" s="146"/>
      <c r="D38" s="156"/>
      <c r="E38" s="199" t="str">
        <f>IF(ISNUMBER(Sample6_3rd_Volume),Sample6_3rd_Volume/300," ")</f>
        <v xml:space="preserve"> </v>
      </c>
      <c r="F38" s="157"/>
      <c r="G38" s="172"/>
      <c r="H38" s="56"/>
      <c r="I38" s="173" t="str">
        <f>IF(OR(Sample6_3rd_DOi="",Sample6_3rd_DOf=""),"",Sample6_3rd_DOi-Sample6_3rd_DOf)</f>
        <v/>
      </c>
      <c r="J38" s="164"/>
      <c r="K38" s="72"/>
      <c r="L38" s="57"/>
      <c r="M38" s="136"/>
      <c r="N38" s="68" t="str">
        <f>IFERROR(IF(OR(Sample6_3rd_Volume="",Sample6_3rd_Depletion="",Sample6_3rd_DOf=""),"",IF(Sample6_3rd_DepletionOK="No","Reject",300/Sample6_3rd_Volume*(Sample6_3rd_Depletion-(Sample6_3rd_Seed_Volume*Seed_BOD_per_mL)))),300/Sample6_3rd_Volume*Sample6_3rd_Depletion)</f>
        <v/>
      </c>
      <c r="O38" s="69"/>
      <c r="P38" s="191"/>
    </row>
    <row r="39" spans="1:16" ht="15.75" customHeight="1" x14ac:dyDescent="0.3">
      <c r="A39" s="207" t="s">
        <v>51</v>
      </c>
      <c r="B39" s="59" t="s">
        <v>51</v>
      </c>
      <c r="C39" s="144"/>
      <c r="D39" s="152"/>
      <c r="E39" s="198" t="str">
        <f>IF(ISNUMBER(Sample7_1st_Volume),Sample7_1st_Volume/300," ")</f>
        <v xml:space="preserve"> </v>
      </c>
      <c r="F39" s="153"/>
      <c r="G39" s="169"/>
      <c r="H39" s="50"/>
      <c r="I39" s="174" t="str">
        <f>IF(OR(Sample7_1st_DOi="",Sample7_1st_DOf=""),"",Sample7_1st_DOi-Sample7_1st_DOf)</f>
        <v/>
      </c>
      <c r="J39" s="165"/>
      <c r="K39" s="71"/>
      <c r="L39" s="51"/>
      <c r="M39" s="134"/>
      <c r="N39" s="60" t="str">
        <f>IFERROR(IF(OR(Sample7_1st_Volume="",Sample7_1st_Depletion="",Sample7_1st_DOf=""),"",IF(Sample7_1st_DepletionOK="No","Reject",300/Sample7_1st_Volume*(Sample7_1st_Depletion-(Sample7_1st_Seed_Volume*Seed_BOD_per_mL)))),300/Sample7_1st_Volume*Sample7_1st_Depletion)</f>
        <v/>
      </c>
      <c r="O39" s="46" t="str">
        <f>IFERROR(IF(AtLeast1Sample7Result="","",AVERAGE(N39:N41)),"Reject")</f>
        <v/>
      </c>
      <c r="P39" s="188"/>
    </row>
    <row r="40" spans="1:16" ht="15.75" customHeight="1" x14ac:dyDescent="0.3">
      <c r="A40" s="208"/>
      <c r="B40" s="85" t="str">
        <f>IF(B39="","",B39)</f>
        <v>Sample 7</v>
      </c>
      <c r="C40" s="147"/>
      <c r="D40" s="158"/>
      <c r="E40" s="197" t="str">
        <f>IF(ISNUMBER(Sample7_2nd_Volume),Sample7_2nd_Volume/300," ")</f>
        <v xml:space="preserve"> </v>
      </c>
      <c r="F40" s="159"/>
      <c r="G40" s="175"/>
      <c r="H40" s="64"/>
      <c r="I40" s="171" t="str">
        <f>IF(OR(Sample7_2nd_DOi="",Sample7_2nd_DOf=""),"",Sample7_2nd_DOi-Sample7_2nd_DOf)</f>
        <v/>
      </c>
      <c r="J40" s="163"/>
      <c r="K40" s="73"/>
      <c r="L40" s="65"/>
      <c r="M40" s="135"/>
      <c r="N40" s="66" t="str">
        <f>IFERROR(IF(OR(Sample7_2nd_Volume="",Sample7_2nd_Depletion="",Sample7_2nd_DOf=""),"",IF(Sample7_2nd_DepletionOK="No","Reject",300/Sample7_2nd_Volume*(Sample7_2nd_Depletion-(Sample7_2nd_Seed_Volume*Seed_BOD_per_mL)))),300/Sample7_2nd_Volume*Sample7_2nd_Depletion)</f>
        <v/>
      </c>
      <c r="O40" s="67"/>
      <c r="P40" s="191"/>
    </row>
    <row r="41" spans="1:16" ht="15.75" customHeight="1" thickBot="1" x14ac:dyDescent="0.35">
      <c r="A41" s="210"/>
      <c r="B41" s="86" t="str">
        <f>IF(B40="","",B40)</f>
        <v>Sample 7</v>
      </c>
      <c r="C41" s="146"/>
      <c r="D41" s="156"/>
      <c r="E41" s="199" t="str">
        <f>IF(ISNUMBER(Sample7_3rd_Volume),Sample7_3rd_Volume/300," ")</f>
        <v xml:space="preserve"> </v>
      </c>
      <c r="F41" s="157"/>
      <c r="G41" s="172"/>
      <c r="H41" s="56"/>
      <c r="I41" s="173" t="str">
        <f>IF(OR(Sample7_3rd_DOi="",Sample7_3rd_DOf=""),"",Sample7_3rd_DOi-Sample7_3rd_DOf)</f>
        <v/>
      </c>
      <c r="J41" s="164"/>
      <c r="K41" s="72"/>
      <c r="L41" s="57"/>
      <c r="M41" s="136"/>
      <c r="N41" s="68" t="str">
        <f>IFERROR(IF(OR(Sample7_3rd_Volume="",Sample7_3rd_Depletion="",Sample7_3rd_DOf=""),"",IF(Sample7_3rd_DepletionOK="No","Reject",300/Sample7_3rd_Volume*(Sample7_3rd_Depletion-(Sample7_3rd_Seed_Volume*Seed_BOD_per_mL)))),300/Sample7_3rd_Volume*Sample7_3rd_Depletion)</f>
        <v/>
      </c>
      <c r="O41" s="69"/>
      <c r="P41" s="191"/>
    </row>
    <row r="42" spans="1:16" ht="15.75" hidden="1" customHeight="1" x14ac:dyDescent="0.3">
      <c r="A42" s="207" t="s">
        <v>53</v>
      </c>
      <c r="B42" s="59"/>
      <c r="C42" s="48"/>
      <c r="D42" s="49"/>
      <c r="E42" s="82" t="str">
        <f t="shared" ref="E42:E44" si="0">IF(D42="","",D42/300)</f>
        <v/>
      </c>
      <c r="F42" s="95"/>
      <c r="G42" s="50"/>
      <c r="H42" s="50"/>
      <c r="I42" s="51" t="str">
        <f t="shared" ref="I42:I45" si="1">IF(OR(G42="",H42=""),"",G42-H42)</f>
        <v/>
      </c>
      <c r="J42" s="51" t="str">
        <f>IF(OR(H42&lt;1,I42&lt;2),"No",IF(AND(Seed_BOD_per_mL="Error",F42&lt;&gt;""),"No","Yes"))</f>
        <v>No</v>
      </c>
      <c r="K42" s="71" t="str">
        <f t="shared" ref="K42:K44" si="2">IF(D42&gt;=270,"Yes","No")</f>
        <v>No</v>
      </c>
      <c r="L42" s="51"/>
      <c r="M42" s="124"/>
      <c r="N42" s="60" t="str">
        <f>IFERROR(IF(OR(D42="",I42="",H42=""),"",IF(J42="No","Reject",300/D42*(I42-(F42*Seed_BOD_per_mL)))),300/D42*I42)</f>
        <v/>
      </c>
      <c r="O42" s="46" t="str">
        <f>IFERROR(IF(N42="","",AVERAGE(N42:N44)),"Reject")</f>
        <v/>
      </c>
      <c r="P42" s="188"/>
    </row>
    <row r="43" spans="1:16" ht="15.75" hidden="1" customHeight="1" x14ac:dyDescent="0.3">
      <c r="A43" s="208"/>
      <c r="B43" s="85" t="str">
        <f t="shared" ref="B43:B44" si="3">IF(B42="","",B42)</f>
        <v/>
      </c>
      <c r="C43" s="62"/>
      <c r="D43" s="63"/>
      <c r="E43" s="84" t="str">
        <f t="shared" si="0"/>
        <v/>
      </c>
      <c r="F43" s="96"/>
      <c r="G43" s="64"/>
      <c r="H43" s="64"/>
      <c r="I43" s="65" t="str">
        <f t="shared" si="1"/>
        <v/>
      </c>
      <c r="J43" s="65" t="str">
        <f>IF(OR(H43&lt;1,I43&lt;2),"No",IF(AND(Seed_BOD_per_mL="Error",F43&lt;&gt;""),"No","Yes"))</f>
        <v>No</v>
      </c>
      <c r="K43" s="73" t="str">
        <f t="shared" si="2"/>
        <v>No</v>
      </c>
      <c r="L43" s="65"/>
      <c r="M43" s="126"/>
      <c r="N43" s="66" t="str">
        <f>IFERROR(IF(OR(D43="",I43="",H43=""),"",IF(J43="No","Reject",300/D43*(I43-(F43*Seed_BOD_per_mL)))),300/D43*I43)</f>
        <v/>
      </c>
      <c r="O43" s="67"/>
      <c r="P43" s="191"/>
    </row>
    <row r="44" spans="1:16" ht="15.75" hidden="1" customHeight="1" thickBot="1" x14ac:dyDescent="0.35">
      <c r="A44" s="210"/>
      <c r="B44" s="86" t="str">
        <f t="shared" si="3"/>
        <v/>
      </c>
      <c r="C44" s="54"/>
      <c r="D44" s="55"/>
      <c r="E44" s="83" t="str">
        <f t="shared" si="0"/>
        <v/>
      </c>
      <c r="F44" s="97"/>
      <c r="G44" s="56"/>
      <c r="H44" s="56"/>
      <c r="I44" s="57" t="str">
        <f t="shared" si="1"/>
        <v/>
      </c>
      <c r="J44" s="57" t="str">
        <f>IF(OR(H44&lt;1,I44&lt;2),"No",IF(AND(Seed_BOD_per_mL="Error",F44&lt;&gt;""),"No","Yes"))</f>
        <v>No</v>
      </c>
      <c r="K44" s="72" t="str">
        <f t="shared" si="2"/>
        <v>No</v>
      </c>
      <c r="L44" s="57"/>
      <c r="M44" s="125"/>
      <c r="N44" s="68" t="str">
        <f>IFERROR(IF(OR(D44="",I44="",H44=""),"",IF(J44="No","Reject",300/D44*(I44-(F44*Seed_BOD_per_mL)))),300/D44*I44)</f>
        <v/>
      </c>
      <c r="O44" s="69"/>
      <c r="P44" s="191"/>
    </row>
    <row r="45" spans="1:16" ht="15.75" customHeight="1" x14ac:dyDescent="0.3">
      <c r="A45"/>
      <c r="B45" s="116"/>
      <c r="C45" s="117"/>
      <c r="D45" s="118"/>
      <c r="E45" s="119"/>
      <c r="F45" s="120"/>
      <c r="G45" s="121"/>
      <c r="H45" s="122"/>
      <c r="I45" s="70" t="str">
        <f t="shared" si="1"/>
        <v/>
      </c>
      <c r="J45" s="70"/>
      <c r="K45" s="70"/>
      <c r="L45" s="70"/>
      <c r="M45" s="70"/>
      <c r="N45" s="119"/>
      <c r="O45" s="123"/>
      <c r="P45" s="37"/>
    </row>
    <row r="46" spans="1:16" ht="9" customHeight="1" thickBot="1" x14ac:dyDescent="0.35">
      <c r="A46"/>
      <c r="B46" s="32"/>
      <c r="C46" s="33"/>
      <c r="D46" s="34"/>
      <c r="E46" s="33"/>
      <c r="F46" s="33"/>
      <c r="G46" s="33"/>
      <c r="H46" s="35"/>
      <c r="I46" s="36"/>
      <c r="J46" s="36"/>
      <c r="K46" s="36"/>
      <c r="L46" s="36"/>
      <c r="M46" s="36"/>
      <c r="N46" s="37"/>
      <c r="O46" s="37"/>
      <c r="P46" s="37"/>
    </row>
    <row r="47" spans="1:16" s="115" customFormat="1" ht="12.75" x14ac:dyDescent="0.2">
      <c r="A47" s="109"/>
      <c r="B47" s="110" t="s">
        <v>76</v>
      </c>
      <c r="C47" s="111"/>
      <c r="D47" s="112"/>
      <c r="E47" s="112"/>
      <c r="F47" s="112"/>
      <c r="G47" s="113" t="s">
        <v>77</v>
      </c>
      <c r="H47" s="112"/>
      <c r="I47" s="112"/>
      <c r="J47" s="113" t="s">
        <v>78</v>
      </c>
      <c r="K47" s="112"/>
      <c r="L47" s="112"/>
      <c r="M47" s="112"/>
      <c r="N47" s="112"/>
      <c r="O47" s="114"/>
    </row>
    <row r="48" spans="1:16" s="102" customFormat="1" ht="12.75" x14ac:dyDescent="0.2">
      <c r="A48" s="103"/>
      <c r="C48" s="104"/>
      <c r="O48" s="105"/>
    </row>
    <row r="49" spans="1:15" s="102" customFormat="1" ht="12" thickBot="1" x14ac:dyDescent="0.25">
      <c r="A49" s="106"/>
      <c r="B49" s="107"/>
      <c r="C49" s="107"/>
      <c r="D49" s="107"/>
      <c r="E49" s="107"/>
      <c r="F49" s="107"/>
      <c r="G49" s="107"/>
      <c r="H49" s="107"/>
      <c r="I49" s="107"/>
      <c r="J49" s="107"/>
      <c r="K49" s="107"/>
      <c r="L49" s="107"/>
      <c r="M49" s="107"/>
      <c r="N49" s="107"/>
      <c r="O49" s="108"/>
    </row>
    <row r="50" spans="1:15" ht="15.75" x14ac:dyDescent="0.3">
      <c r="C50"/>
      <c r="F50" s="38"/>
      <c r="G50" s="38"/>
      <c r="H50" s="38"/>
      <c r="I50" s="38"/>
    </row>
    <row r="51" spans="1:15" x14ac:dyDescent="0.3">
      <c r="B51" s="1" t="s">
        <v>67</v>
      </c>
    </row>
    <row r="53" spans="1:15" x14ac:dyDescent="0.3">
      <c r="B53" s="89" t="s">
        <v>71</v>
      </c>
    </row>
    <row r="55" spans="1:15" x14ac:dyDescent="0.3">
      <c r="B55" s="1" t="s">
        <v>60</v>
      </c>
    </row>
    <row r="56" spans="1:15" x14ac:dyDescent="0.3">
      <c r="B56" s="89" t="s">
        <v>82</v>
      </c>
    </row>
    <row r="57" spans="1:15" x14ac:dyDescent="0.3">
      <c r="B57" s="89"/>
    </row>
    <row r="58" spans="1:15" x14ac:dyDescent="0.3">
      <c r="B58" s="1" t="s">
        <v>64</v>
      </c>
    </row>
    <row r="59" spans="1:15" x14ac:dyDescent="0.3">
      <c r="B59" s="1" t="s">
        <v>63</v>
      </c>
    </row>
    <row r="60" spans="1:15" x14ac:dyDescent="0.3">
      <c r="B60" s="1" t="s">
        <v>65</v>
      </c>
    </row>
    <row r="61" spans="1:15" x14ac:dyDescent="0.3">
      <c r="B61" s="89" t="s">
        <v>66</v>
      </c>
    </row>
    <row r="64" spans="1:15" x14ac:dyDescent="0.3">
      <c r="B64" s="1" t="s">
        <v>68</v>
      </c>
    </row>
    <row r="65" spans="2:2" x14ac:dyDescent="0.3">
      <c r="B65" s="1" t="s">
        <v>69</v>
      </c>
    </row>
    <row r="66" spans="2:2" x14ac:dyDescent="0.3">
      <c r="B66" s="1" t="s">
        <v>70</v>
      </c>
    </row>
  </sheetData>
  <sheetProtection formatCells="0"/>
  <mergeCells count="22">
    <mergeCell ref="A33:A35"/>
    <mergeCell ref="A36:A38"/>
    <mergeCell ref="A39:A41"/>
    <mergeCell ref="A42:A44"/>
    <mergeCell ref="A17:A19"/>
    <mergeCell ref="A20:A22"/>
    <mergeCell ref="O21:O22"/>
    <mergeCell ref="A23:A26"/>
    <mergeCell ref="A27:A29"/>
    <mergeCell ref="A30:A32"/>
    <mergeCell ref="B9:C9"/>
    <mergeCell ref="D9:F9"/>
    <mergeCell ref="G9:I9"/>
    <mergeCell ref="N9:O9"/>
    <mergeCell ref="B10:B11"/>
    <mergeCell ref="A14:A16"/>
    <mergeCell ref="A7:D7"/>
    <mergeCell ref="A2:D2"/>
    <mergeCell ref="A3:D3"/>
    <mergeCell ref="A4:D4"/>
    <mergeCell ref="A5:D5"/>
    <mergeCell ref="A6:D6"/>
  </mergeCells>
  <conditionalFormatting sqref="H42:H45">
    <cfRule type="expression" dxfId="15" priority="17">
      <formula>IF(OR(H42="",H42&gt;=1),FALSE,TRUE)</formula>
    </cfRule>
  </conditionalFormatting>
  <conditionalFormatting sqref="O21 N21:N22 N23:O45 N12:O13 N17:O20">
    <cfRule type="expression" dxfId="14" priority="16">
      <formula>IF(OR(N12="Reject"), TRUE, FALSE)</formula>
    </cfRule>
  </conditionalFormatting>
  <conditionalFormatting sqref="O18">
    <cfRule type="expression" dxfId="13" priority="15">
      <formula>IF(O17="reject",TRUE,FALSE)</formula>
    </cfRule>
  </conditionalFormatting>
  <conditionalFormatting sqref="O19">
    <cfRule type="expression" dxfId="12" priority="14">
      <formula>IF(O17="Reject",TRUE,FALSE)</formula>
    </cfRule>
  </conditionalFormatting>
  <conditionalFormatting sqref="O21">
    <cfRule type="expression" dxfId="11" priority="13">
      <formula>IF(O20="reject",TRUE,FALSE)</formula>
    </cfRule>
  </conditionalFormatting>
  <conditionalFormatting sqref="O21 O24:O25 O28 O31 O34 O37 O40 O43">
    <cfRule type="expression" dxfId="10" priority="12">
      <formula>IF(O20="reject",TRUE,FALSE)</formula>
    </cfRule>
  </conditionalFormatting>
  <conditionalFormatting sqref="O29 O32 O35 O38 O41 O44">
    <cfRule type="expression" dxfId="9" priority="11">
      <formula>IF(O27="Reject",TRUE,FALSE)</formula>
    </cfRule>
  </conditionalFormatting>
  <conditionalFormatting sqref="I27:I44">
    <cfRule type="expression" dxfId="8" priority="10">
      <formula>IF(I27&lt;2,TRUE,FALSE)</formula>
    </cfRule>
  </conditionalFormatting>
  <conditionalFormatting sqref="O26">
    <cfRule type="expression" dxfId="7" priority="18">
      <formula>IF(O23="Reject",TRUE,FALSE)</formula>
    </cfRule>
  </conditionalFormatting>
  <conditionalFormatting sqref="N12:O13">
    <cfRule type="cellIs" dxfId="6" priority="9" operator="greaterThan">
      <formula>0.2</formula>
    </cfRule>
  </conditionalFormatting>
  <conditionalFormatting sqref="N17:O19">
    <cfRule type="cellIs" dxfId="5" priority="6" operator="equal">
      <formula>"Reject"</formula>
    </cfRule>
  </conditionalFormatting>
  <conditionalFormatting sqref="H27:H29">
    <cfRule type="expression" dxfId="4" priority="5">
      <formula>IF(OR(H27="",H27&gt;=1),FALSE,TRUE)</formula>
    </cfRule>
  </conditionalFormatting>
  <conditionalFormatting sqref="H30:H32">
    <cfRule type="expression" dxfId="3" priority="4">
      <formula>IF(OR(H30="",H30&gt;=1),FALSE,TRUE)</formula>
    </cfRule>
  </conditionalFormatting>
  <conditionalFormatting sqref="H33:H35">
    <cfRule type="expression" dxfId="2" priority="3">
      <formula>IF(OR(H33="",H33&gt;=1),FALSE,TRUE)</formula>
    </cfRule>
  </conditionalFormatting>
  <conditionalFormatting sqref="H36:H38">
    <cfRule type="expression" dxfId="1" priority="2">
      <formula>IF(OR(H36="",H36&gt;=1),FALSE,TRUE)</formula>
    </cfRule>
  </conditionalFormatting>
  <conditionalFormatting sqref="H39:H41">
    <cfRule type="expression" dxfId="0" priority="1">
      <formula>IF(OR(H39="",H39&gt;=1),FALSE,TRUE)</formula>
    </cfRule>
  </conditionalFormatting>
  <pageMargins left="0.3" right="1.0416666666666701E-2" top="0.89583333333333304" bottom="0.42708333333333298" header="0.3" footer="0.3"/>
  <pageSetup fitToHeight="0" orientation="landscape" r:id="rId1"/>
  <headerFooter>
    <oddHeader xml:space="preserve">&amp;R&amp;"Times New Roman,Regular"&amp;10Wastewater Treatment Plant Laboratory
&amp;"Times New Roman,Bold"BOD Benchsheet SM#5210 B (21st Edition)
&amp;"Times New Roman,Regular"Enter/Verify Data in Yellow Cells&amp;14
</oddHeader>
    <oddFooter>&amp;L&amp;"Calibri,Regular"&amp;8
&amp;D&amp;T&amp;R&amp;8
&amp;Z&amp;F</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412</vt:i4>
      </vt:variant>
    </vt:vector>
  </HeadingPairs>
  <TitlesOfParts>
    <vt:vector size="414" baseType="lpstr">
      <vt:lpstr>BOD Benchsheet</vt:lpstr>
      <vt:lpstr>Blank Sheet</vt:lpstr>
      <vt:lpstr>'Blank Sheet'!AtLeast1EffluentResult</vt:lpstr>
      <vt:lpstr>AtLeast1EffluentResult</vt:lpstr>
      <vt:lpstr>'Blank Sheet'!AtLeast1InfluentResult</vt:lpstr>
      <vt:lpstr>AtLeast1InfluentResult</vt:lpstr>
      <vt:lpstr>'Blank Sheet'!AtLeast1Sample3Result</vt:lpstr>
      <vt:lpstr>AtLeast1Sample3Result</vt:lpstr>
      <vt:lpstr>'Blank Sheet'!AtLeast1Sample4Result</vt:lpstr>
      <vt:lpstr>AtLeast1Sample4Result</vt:lpstr>
      <vt:lpstr>'Blank Sheet'!AtLeast1Sample5Result</vt:lpstr>
      <vt:lpstr>AtLeast1Sample5Result</vt:lpstr>
      <vt:lpstr>'Blank Sheet'!AtLeast1Sample6Result</vt:lpstr>
      <vt:lpstr>AtLeast1Sample6Result</vt:lpstr>
      <vt:lpstr>'Blank Sheet'!AtLeast1Sample7Result</vt:lpstr>
      <vt:lpstr>AtLeast1Sample7Result</vt:lpstr>
      <vt:lpstr>'Blank Sheet'!Blank1_Depletion</vt:lpstr>
      <vt:lpstr>Blank1_Depletion</vt:lpstr>
      <vt:lpstr>'Blank Sheet'!Blank1_DepletionLessThan0.2</vt:lpstr>
      <vt:lpstr>Blank1_DepletionLessThan0.2</vt:lpstr>
      <vt:lpstr>'Blank Sheet'!Blank1_DOf</vt:lpstr>
      <vt:lpstr>Blank1_DOf</vt:lpstr>
      <vt:lpstr>'Blank Sheet'!Blank1_DOi</vt:lpstr>
      <vt:lpstr>Blank1_DOi</vt:lpstr>
      <vt:lpstr>'Blank Sheet'!Blank1_Seed</vt:lpstr>
      <vt:lpstr>Blank1_Seed</vt:lpstr>
      <vt:lpstr>'Blank Sheet'!Blank1_Seed_Volume_Added</vt:lpstr>
      <vt:lpstr>Blank1_Seed_Volume_Added</vt:lpstr>
      <vt:lpstr>'Blank Sheet'!Blank1_Volume</vt:lpstr>
      <vt:lpstr>Blank1_Volume</vt:lpstr>
      <vt:lpstr>'Blank Sheet'!Blank1_VolumeSufficient</vt:lpstr>
      <vt:lpstr>Blank1_VolumeSufficient</vt:lpstr>
      <vt:lpstr>'Blank Sheet'!Blank2_Depletion</vt:lpstr>
      <vt:lpstr>Blank2_Depletion</vt:lpstr>
      <vt:lpstr>'Blank Sheet'!Blank2_DOf</vt:lpstr>
      <vt:lpstr>Blank2_DOf</vt:lpstr>
      <vt:lpstr>'Blank Sheet'!Blank2_DOi</vt:lpstr>
      <vt:lpstr>Blank2_DOi</vt:lpstr>
      <vt:lpstr>'Blank Sheet'!Blank2_Seed_Volume_Added</vt:lpstr>
      <vt:lpstr>Blank2_Seed_Volume_Added</vt:lpstr>
      <vt:lpstr>'Blank Sheet'!Blank2_Volume</vt:lpstr>
      <vt:lpstr>Blank2_Volume</vt:lpstr>
      <vt:lpstr>'Blank Sheet'!Effluent_1_Seed_Volume</vt:lpstr>
      <vt:lpstr>Effluent_1_Seed_Volume</vt:lpstr>
      <vt:lpstr>'Blank Sheet'!Effluent_1_Volume</vt:lpstr>
      <vt:lpstr>Effluent_1_Volume</vt:lpstr>
      <vt:lpstr>'Blank Sheet'!Effluent_2_Seed_Volume</vt:lpstr>
      <vt:lpstr>Effluent_2_Seed_Volume</vt:lpstr>
      <vt:lpstr>'Blank Sheet'!Effluent_2_Volume</vt:lpstr>
      <vt:lpstr>Effluent_2_Volume</vt:lpstr>
      <vt:lpstr>'Blank Sheet'!Effluent_3_Seed_Volume</vt:lpstr>
      <vt:lpstr>Effluent_3_Seed_Volume</vt:lpstr>
      <vt:lpstr>'Blank Sheet'!Effluent_3_Volume</vt:lpstr>
      <vt:lpstr>Effluent_3_Volume</vt:lpstr>
      <vt:lpstr>'Blank Sheet'!Effluent1_Depletion</vt:lpstr>
      <vt:lpstr>Effluent1_Depletion</vt:lpstr>
      <vt:lpstr>'Blank Sheet'!Effluent1_DepletionOK</vt:lpstr>
      <vt:lpstr>Effluent1_DepletionOK</vt:lpstr>
      <vt:lpstr>'Blank Sheet'!Effluent1_DOf</vt:lpstr>
      <vt:lpstr>Effluent1_DOf</vt:lpstr>
      <vt:lpstr>'Blank Sheet'!Effluent1_DOi</vt:lpstr>
      <vt:lpstr>Effluent1_DOi</vt:lpstr>
      <vt:lpstr>'Blank Sheet'!Effluent1VolumeMoreThan270mL</vt:lpstr>
      <vt:lpstr>Effluent1VolumeMoreThan270mL</vt:lpstr>
      <vt:lpstr>'Blank Sheet'!Effluent2_Depletion</vt:lpstr>
      <vt:lpstr>Effluent2_Depletion</vt:lpstr>
      <vt:lpstr>'Blank Sheet'!Effluent2_DepletionOK</vt:lpstr>
      <vt:lpstr>Effluent2_DepletionOK</vt:lpstr>
      <vt:lpstr>'Blank Sheet'!Effluent2_DOf</vt:lpstr>
      <vt:lpstr>Effluent2_DOf</vt:lpstr>
      <vt:lpstr>'Blank Sheet'!Effluent2_DOi</vt:lpstr>
      <vt:lpstr>Effluent2_DOi</vt:lpstr>
      <vt:lpstr>'Blank Sheet'!Effluent2_VolumeOK</vt:lpstr>
      <vt:lpstr>Effluent2_VolumeOK</vt:lpstr>
      <vt:lpstr>'Blank Sheet'!Effluent3_Depletion</vt:lpstr>
      <vt:lpstr>Effluent3_Depletion</vt:lpstr>
      <vt:lpstr>'Blank Sheet'!Effluent3_DepletionOK</vt:lpstr>
      <vt:lpstr>Effluent3_DepletionOK</vt:lpstr>
      <vt:lpstr>'Blank Sheet'!Effluent3_DOf</vt:lpstr>
      <vt:lpstr>Effluent3_DOf</vt:lpstr>
      <vt:lpstr>'Blank Sheet'!Effluent3_DOi</vt:lpstr>
      <vt:lpstr>Effluent3_DOi</vt:lpstr>
      <vt:lpstr>'Blank Sheet'!Effluent3_VolumeOK</vt:lpstr>
      <vt:lpstr>Effluent3_VolumeOK</vt:lpstr>
      <vt:lpstr>'Blank Sheet'!GGA1_Depletion</vt:lpstr>
      <vt:lpstr>GGA1_Depletion</vt:lpstr>
      <vt:lpstr>'Blank Sheet'!GGA1_DOf</vt:lpstr>
      <vt:lpstr>GGA1_DOf</vt:lpstr>
      <vt:lpstr>'Blank Sheet'!GGA1_DOi</vt:lpstr>
      <vt:lpstr>GGA1_DOi</vt:lpstr>
      <vt:lpstr>'Blank Sheet'!GGA1_Result</vt:lpstr>
      <vt:lpstr>GGA1_Result</vt:lpstr>
      <vt:lpstr>'Blank Sheet'!GGA1_Seed_Volume</vt:lpstr>
      <vt:lpstr>GGA1_Seed_Volume</vt:lpstr>
      <vt:lpstr>'Blank Sheet'!GGA1_Volume</vt:lpstr>
      <vt:lpstr>GGA1_Volume</vt:lpstr>
      <vt:lpstr>'Blank Sheet'!GGA1DepletionOK</vt:lpstr>
      <vt:lpstr>GGA1DepletionOK</vt:lpstr>
      <vt:lpstr>'Blank Sheet'!GGA1VolumeOK</vt:lpstr>
      <vt:lpstr>GGA1VolumeOK</vt:lpstr>
      <vt:lpstr>'Blank Sheet'!GGA2_Depletion</vt:lpstr>
      <vt:lpstr>GGA2_Depletion</vt:lpstr>
      <vt:lpstr>'Blank Sheet'!GGA2_DOf</vt:lpstr>
      <vt:lpstr>GGA2_DOf</vt:lpstr>
      <vt:lpstr>'Blank Sheet'!GGA2_DOi</vt:lpstr>
      <vt:lpstr>GGA2_DOi</vt:lpstr>
      <vt:lpstr>'Blank Sheet'!GGA2_Seed_Volume</vt:lpstr>
      <vt:lpstr>GGA2_Seed_Volume</vt:lpstr>
      <vt:lpstr>'Blank Sheet'!GGA2_Volume</vt:lpstr>
      <vt:lpstr>GGA2_Volume</vt:lpstr>
      <vt:lpstr>'Blank Sheet'!GGA3_Depletion</vt:lpstr>
      <vt:lpstr>GGA3_Depletion</vt:lpstr>
      <vt:lpstr>'Blank Sheet'!GGA3_DOf</vt:lpstr>
      <vt:lpstr>GGA3_DOf</vt:lpstr>
      <vt:lpstr>'Blank Sheet'!GGA3_DOi</vt:lpstr>
      <vt:lpstr>GGA3_DOi</vt:lpstr>
      <vt:lpstr>'Blank Sheet'!GGA3_Result</vt:lpstr>
      <vt:lpstr>GGA3_Result</vt:lpstr>
      <vt:lpstr>'Blank Sheet'!GGA3_Seed_Volume</vt:lpstr>
      <vt:lpstr>GGA3_Seed_Volume</vt:lpstr>
      <vt:lpstr>'Blank Sheet'!GGA3_Volume</vt:lpstr>
      <vt:lpstr>GGA3_Volume</vt:lpstr>
      <vt:lpstr>'Blank Sheet'!GGA3DepletionOK</vt:lpstr>
      <vt:lpstr>GGA3DepletionOK</vt:lpstr>
      <vt:lpstr>'Blank Sheet'!GGA3VolumeOK</vt:lpstr>
      <vt:lpstr>GGA3VolumeOK</vt:lpstr>
      <vt:lpstr>'Blank Sheet'!Influent_1_Volume</vt:lpstr>
      <vt:lpstr>Influent_1_Volume</vt:lpstr>
      <vt:lpstr>'Blank Sheet'!Influent_2_Volume</vt:lpstr>
      <vt:lpstr>Influent_2_Volume</vt:lpstr>
      <vt:lpstr>'Blank Sheet'!Influent_3_Volume</vt:lpstr>
      <vt:lpstr>Influent_3_Volume</vt:lpstr>
      <vt:lpstr>'Blank Sheet'!Influent_4_Volume</vt:lpstr>
      <vt:lpstr>Influent_4_Volume</vt:lpstr>
      <vt:lpstr>'Blank Sheet'!Influent1_Depletion</vt:lpstr>
      <vt:lpstr>Influent1_Depletion</vt:lpstr>
      <vt:lpstr>'Blank Sheet'!Influent1_DepletionOK</vt:lpstr>
      <vt:lpstr>Influent1_DepletionOK</vt:lpstr>
      <vt:lpstr>'Blank Sheet'!Influent1_DOf</vt:lpstr>
      <vt:lpstr>Influent1_DOf</vt:lpstr>
      <vt:lpstr>'Blank Sheet'!Influent1_DOi</vt:lpstr>
      <vt:lpstr>Influent1_DOi</vt:lpstr>
      <vt:lpstr>'Blank Sheet'!Influent1_Seed_Volume</vt:lpstr>
      <vt:lpstr>Influent1_Seed_Volume</vt:lpstr>
      <vt:lpstr>'Blank Sheet'!Influent2_Depletion</vt:lpstr>
      <vt:lpstr>Influent2_Depletion</vt:lpstr>
      <vt:lpstr>'Blank Sheet'!Influent2_DepletionOK</vt:lpstr>
      <vt:lpstr>Influent2_DepletionOK</vt:lpstr>
      <vt:lpstr>'Blank Sheet'!Influent2_DOf</vt:lpstr>
      <vt:lpstr>Influent2_DOf</vt:lpstr>
      <vt:lpstr>'Blank Sheet'!Influent2_DOi</vt:lpstr>
      <vt:lpstr>Influent2_DOi</vt:lpstr>
      <vt:lpstr>'Blank Sheet'!Influent2_Seed_Volume</vt:lpstr>
      <vt:lpstr>Influent2_Seed_Volume</vt:lpstr>
      <vt:lpstr>'Blank Sheet'!Influent3_Depletion</vt:lpstr>
      <vt:lpstr>Influent3_Depletion</vt:lpstr>
      <vt:lpstr>'Blank Sheet'!Influent3_DepletionOK</vt:lpstr>
      <vt:lpstr>Influent3_DepletionOK</vt:lpstr>
      <vt:lpstr>'Blank Sheet'!Influent3_DOf</vt:lpstr>
      <vt:lpstr>Influent3_DOf</vt:lpstr>
      <vt:lpstr>'Blank Sheet'!Influent3_DOi</vt:lpstr>
      <vt:lpstr>Influent3_DOi</vt:lpstr>
      <vt:lpstr>'Blank Sheet'!Influent3_Seed_Volume</vt:lpstr>
      <vt:lpstr>Influent3_Seed_Volume</vt:lpstr>
      <vt:lpstr>'Blank Sheet'!Influent4_Depletion</vt:lpstr>
      <vt:lpstr>Influent4_Depletion</vt:lpstr>
      <vt:lpstr>'Blank Sheet'!Influent4_DepletionOK</vt:lpstr>
      <vt:lpstr>Influent4_DepletionOK</vt:lpstr>
      <vt:lpstr>'Blank Sheet'!Influent4_DOf</vt:lpstr>
      <vt:lpstr>Influent4_DOf</vt:lpstr>
      <vt:lpstr>'Blank Sheet'!Influent4_DOi</vt:lpstr>
      <vt:lpstr>Influent4_DOi</vt:lpstr>
      <vt:lpstr>'Blank Sheet'!Influent4_Seed_Volume</vt:lpstr>
      <vt:lpstr>Influent4_Seed_Volume</vt:lpstr>
      <vt:lpstr>'Blank Sheet'!mgL_Seed_Depletion_Expected</vt:lpstr>
      <vt:lpstr>mgL_Seed_Depletion_Expected</vt:lpstr>
      <vt:lpstr>'Blank Sheet'!mL_Seed_Used_per_Sample</vt:lpstr>
      <vt:lpstr>mL_Seed_Used_per_Sample</vt:lpstr>
      <vt:lpstr>'Blank Sheet'!Polyseed_1_Volume</vt:lpstr>
      <vt:lpstr>Polyseed_1_Volume</vt:lpstr>
      <vt:lpstr>'Blank Sheet'!Polyseed_2_Volume</vt:lpstr>
      <vt:lpstr>Polyseed_2_Volume</vt:lpstr>
      <vt:lpstr>'Blank Sheet'!Polyseed_3_Volume</vt:lpstr>
      <vt:lpstr>Polyseed_3_Volume</vt:lpstr>
      <vt:lpstr>'Blank Sheet'!Print_Area</vt:lpstr>
      <vt:lpstr>'BOD Benchsheet'!Print_Area</vt:lpstr>
      <vt:lpstr>'Blank Sheet'!Print_Titles</vt:lpstr>
      <vt:lpstr>'BOD Benchsheet'!Print_Titles</vt:lpstr>
      <vt:lpstr>'Blank Sheet'!Sample3_1st_Depletion</vt:lpstr>
      <vt:lpstr>Sample3_1st_Depletion</vt:lpstr>
      <vt:lpstr>'Blank Sheet'!Sample3_1st_DepletionOK</vt:lpstr>
      <vt:lpstr>Sample3_1st_DepletionOK</vt:lpstr>
      <vt:lpstr>'Blank Sheet'!Sample3_1st_DOf</vt:lpstr>
      <vt:lpstr>Sample3_1st_DOf</vt:lpstr>
      <vt:lpstr>'Blank Sheet'!Sample3_1st_DOi</vt:lpstr>
      <vt:lpstr>Sample3_1st_DOi</vt:lpstr>
      <vt:lpstr>'Blank Sheet'!Sample3_1st_Seed_Volume</vt:lpstr>
      <vt:lpstr>Sample3_1st_Seed_Volume</vt:lpstr>
      <vt:lpstr>'Blank Sheet'!Sample3_1st_volume</vt:lpstr>
      <vt:lpstr>Sample3_1st_volume</vt:lpstr>
      <vt:lpstr>'Blank Sheet'!Sample3_2nd_Depletion</vt:lpstr>
      <vt:lpstr>Sample3_2nd_Depletion</vt:lpstr>
      <vt:lpstr>'Blank Sheet'!Sample3_2nd_DepletionOK</vt:lpstr>
      <vt:lpstr>Sample3_2nd_DepletionOK</vt:lpstr>
      <vt:lpstr>'Blank Sheet'!Sample3_2nd_DOf</vt:lpstr>
      <vt:lpstr>Sample3_2nd_DOf</vt:lpstr>
      <vt:lpstr>'Blank Sheet'!Sample3_2nd_DOi</vt:lpstr>
      <vt:lpstr>Sample3_2nd_DOi</vt:lpstr>
      <vt:lpstr>'Blank Sheet'!Sample3_2nd_Seed_Volume</vt:lpstr>
      <vt:lpstr>Sample3_2nd_Seed_Volume</vt:lpstr>
      <vt:lpstr>'Blank Sheet'!Sample3_2nd_Volume</vt:lpstr>
      <vt:lpstr>Sample3_2nd_Volume</vt:lpstr>
      <vt:lpstr>'Blank Sheet'!Sample3_3rd_Depletion</vt:lpstr>
      <vt:lpstr>Sample3_3rd_Depletion</vt:lpstr>
      <vt:lpstr>'Blank Sheet'!Sample3_3rd_DepletionOK</vt:lpstr>
      <vt:lpstr>Sample3_3rd_DepletionOK</vt:lpstr>
      <vt:lpstr>'Blank Sheet'!Sample3_3rd_DOf</vt:lpstr>
      <vt:lpstr>Sample3_3rd_DOf</vt:lpstr>
      <vt:lpstr>'Blank Sheet'!Sample3_3rd_DOi</vt:lpstr>
      <vt:lpstr>Sample3_3rd_DOi</vt:lpstr>
      <vt:lpstr>'Blank Sheet'!Sample3_3rd_Seed_Volume</vt:lpstr>
      <vt:lpstr>Sample3_3rd_Seed_Volume</vt:lpstr>
      <vt:lpstr>'Blank Sheet'!Sample3_3rd_Volume</vt:lpstr>
      <vt:lpstr>Sample3_3rd_Volume</vt:lpstr>
      <vt:lpstr>'Blank Sheet'!Sample4_1st_Depletion</vt:lpstr>
      <vt:lpstr>Sample4_1st_Depletion</vt:lpstr>
      <vt:lpstr>'Blank Sheet'!Sample4_1st_DepletionOK</vt:lpstr>
      <vt:lpstr>Sample4_1st_DepletionOK</vt:lpstr>
      <vt:lpstr>'Blank Sheet'!Sample4_1st_DOf</vt:lpstr>
      <vt:lpstr>Sample4_1st_DOf</vt:lpstr>
      <vt:lpstr>'Blank Sheet'!Sample4_1st_DOi</vt:lpstr>
      <vt:lpstr>Sample4_1st_DOi</vt:lpstr>
      <vt:lpstr>'Blank Sheet'!Sample4_1st_Seed_Volume</vt:lpstr>
      <vt:lpstr>Sample4_1st_Seed_Volume</vt:lpstr>
      <vt:lpstr>'Blank Sheet'!Sample4_1st_Volume</vt:lpstr>
      <vt:lpstr>Sample4_1st_Volume</vt:lpstr>
      <vt:lpstr>'Blank Sheet'!Sample4_2nd_Depletion</vt:lpstr>
      <vt:lpstr>Sample4_2nd_Depletion</vt:lpstr>
      <vt:lpstr>'Blank Sheet'!Sample4_2nd_DepletionOK</vt:lpstr>
      <vt:lpstr>Sample4_2nd_DepletionOK</vt:lpstr>
      <vt:lpstr>'Blank Sheet'!Sample4_2nd_DOf</vt:lpstr>
      <vt:lpstr>Sample4_2nd_DOf</vt:lpstr>
      <vt:lpstr>'Blank Sheet'!Sample4_2nd_DOi</vt:lpstr>
      <vt:lpstr>Sample4_2nd_DOi</vt:lpstr>
      <vt:lpstr>'Blank Sheet'!Sample4_2nd_Seed_Volume</vt:lpstr>
      <vt:lpstr>Sample4_2nd_Seed_Volume</vt:lpstr>
      <vt:lpstr>'Blank Sheet'!Sample4_2nd_Volume</vt:lpstr>
      <vt:lpstr>Sample4_2nd_Volume</vt:lpstr>
      <vt:lpstr>'Blank Sheet'!Sample4_3rd_Depletion</vt:lpstr>
      <vt:lpstr>Sample4_3rd_Depletion</vt:lpstr>
      <vt:lpstr>'Blank Sheet'!Sample4_3rd_DepletionOK</vt:lpstr>
      <vt:lpstr>Sample4_3rd_DepletionOK</vt:lpstr>
      <vt:lpstr>'Blank Sheet'!Sample4_3rd_DOf</vt:lpstr>
      <vt:lpstr>Sample4_3rd_DOf</vt:lpstr>
      <vt:lpstr>'Blank Sheet'!Sample4_3rd_DOi</vt:lpstr>
      <vt:lpstr>Sample4_3rd_DOi</vt:lpstr>
      <vt:lpstr>'Blank Sheet'!Sample4_3rd_Seed_Volume</vt:lpstr>
      <vt:lpstr>Sample4_3rd_Seed_Volume</vt:lpstr>
      <vt:lpstr>'Blank Sheet'!Sample4_3rd_Volume</vt:lpstr>
      <vt:lpstr>Sample4_3rd_Volume</vt:lpstr>
      <vt:lpstr>'Blank Sheet'!Sample5_1st_Depletion</vt:lpstr>
      <vt:lpstr>Sample5_1st_Depletion</vt:lpstr>
      <vt:lpstr>'Blank Sheet'!Sample5_1st_DepletionOK</vt:lpstr>
      <vt:lpstr>Sample5_1st_DepletionOK</vt:lpstr>
      <vt:lpstr>'Blank Sheet'!Sample5_1st_DOf</vt:lpstr>
      <vt:lpstr>Sample5_1st_DOf</vt:lpstr>
      <vt:lpstr>'Blank Sheet'!Sample5_1st_DOi</vt:lpstr>
      <vt:lpstr>Sample5_1st_DOi</vt:lpstr>
      <vt:lpstr>'Blank Sheet'!Sample5_1st_Seed_Volume</vt:lpstr>
      <vt:lpstr>Sample5_1st_Seed_Volume</vt:lpstr>
      <vt:lpstr>'Blank Sheet'!Sample5_1st_Volume</vt:lpstr>
      <vt:lpstr>Sample5_1st_Volume</vt:lpstr>
      <vt:lpstr>'Blank Sheet'!Sample5_2nd_Depletion</vt:lpstr>
      <vt:lpstr>Sample5_2nd_Depletion</vt:lpstr>
      <vt:lpstr>'Blank Sheet'!Sample5_2nd_DepletionOK</vt:lpstr>
      <vt:lpstr>Sample5_2nd_DepletionOK</vt:lpstr>
      <vt:lpstr>'Blank Sheet'!Sample5_2nd_DOf</vt:lpstr>
      <vt:lpstr>Sample5_2nd_DOf</vt:lpstr>
      <vt:lpstr>'Blank Sheet'!Sample5_2nd_DOi</vt:lpstr>
      <vt:lpstr>Sample5_2nd_DOi</vt:lpstr>
      <vt:lpstr>'Blank Sheet'!Sample5_2nd_Seed_Volume</vt:lpstr>
      <vt:lpstr>Sample5_2nd_Seed_Volume</vt:lpstr>
      <vt:lpstr>'Blank Sheet'!Sample5_2nd_Volume</vt:lpstr>
      <vt:lpstr>Sample5_2nd_Volume</vt:lpstr>
      <vt:lpstr>'Blank Sheet'!Sample5_3rd_Depletion</vt:lpstr>
      <vt:lpstr>Sample5_3rd_Depletion</vt:lpstr>
      <vt:lpstr>'Blank Sheet'!Sample5_3rd_DepletionOK</vt:lpstr>
      <vt:lpstr>Sample5_3rd_DepletionOK</vt:lpstr>
      <vt:lpstr>'Blank Sheet'!Sample5_3rd_DOf</vt:lpstr>
      <vt:lpstr>Sample5_3rd_DOf</vt:lpstr>
      <vt:lpstr>'Blank Sheet'!Sample5_3rd_DOi</vt:lpstr>
      <vt:lpstr>Sample5_3rd_DOi</vt:lpstr>
      <vt:lpstr>'Blank Sheet'!Sample5_3rd_Seed_Volume</vt:lpstr>
      <vt:lpstr>Sample5_3rd_Seed_Volume</vt:lpstr>
      <vt:lpstr>'Blank Sheet'!Sample5_3rd_Volume</vt:lpstr>
      <vt:lpstr>Sample5_3rd_Volume</vt:lpstr>
      <vt:lpstr>'Blank Sheet'!Sample6_1st_Depletion</vt:lpstr>
      <vt:lpstr>Sample6_1st_Depletion</vt:lpstr>
      <vt:lpstr>'Blank Sheet'!Sample6_1st_DepletionOK</vt:lpstr>
      <vt:lpstr>Sample6_1st_DepletionOK</vt:lpstr>
      <vt:lpstr>'Blank Sheet'!Sample6_1st_DOf</vt:lpstr>
      <vt:lpstr>Sample6_1st_DOf</vt:lpstr>
      <vt:lpstr>'Blank Sheet'!Sample6_1st_DOi</vt:lpstr>
      <vt:lpstr>Sample6_1st_DOi</vt:lpstr>
      <vt:lpstr>'Blank Sheet'!Sample6_1st_Seed_Volume</vt:lpstr>
      <vt:lpstr>Sample6_1st_Seed_Volume</vt:lpstr>
      <vt:lpstr>'Blank Sheet'!Sample6_1st_Volume</vt:lpstr>
      <vt:lpstr>Sample6_1st_Volume</vt:lpstr>
      <vt:lpstr>'Blank Sheet'!Sample6_2nd_Depletion</vt:lpstr>
      <vt:lpstr>Sample6_2nd_Depletion</vt:lpstr>
      <vt:lpstr>'Blank Sheet'!Sample6_2nd_DepletionOK</vt:lpstr>
      <vt:lpstr>Sample6_2nd_DepletionOK</vt:lpstr>
      <vt:lpstr>'Blank Sheet'!Sample6_2nd_DOf</vt:lpstr>
      <vt:lpstr>Sample6_2nd_DOf</vt:lpstr>
      <vt:lpstr>'Blank Sheet'!Sample6_2nd_DOi</vt:lpstr>
      <vt:lpstr>Sample6_2nd_DOi</vt:lpstr>
      <vt:lpstr>'Blank Sheet'!Sample6_2nd_Seed_Volume</vt:lpstr>
      <vt:lpstr>Sample6_2nd_Seed_Volume</vt:lpstr>
      <vt:lpstr>'Blank Sheet'!Sample6_2nd_Volume</vt:lpstr>
      <vt:lpstr>Sample6_2nd_Volume</vt:lpstr>
      <vt:lpstr>'Blank Sheet'!Sample6_3rd_Depletion</vt:lpstr>
      <vt:lpstr>Sample6_3rd_Depletion</vt:lpstr>
      <vt:lpstr>'Blank Sheet'!Sample6_3rd_DepletionOK</vt:lpstr>
      <vt:lpstr>Sample6_3rd_DepletionOK</vt:lpstr>
      <vt:lpstr>'Blank Sheet'!Sample6_3rd_DOf</vt:lpstr>
      <vt:lpstr>Sample6_3rd_DOf</vt:lpstr>
      <vt:lpstr>'Blank Sheet'!Sample6_3rd_DOi</vt:lpstr>
      <vt:lpstr>Sample6_3rd_DOi</vt:lpstr>
      <vt:lpstr>'Blank Sheet'!Sample6_3rd_Seed_Volume</vt:lpstr>
      <vt:lpstr>Sample6_3rd_Seed_Volume</vt:lpstr>
      <vt:lpstr>'Blank Sheet'!Sample6_3rd_Volume</vt:lpstr>
      <vt:lpstr>Sample6_3rd_Volume</vt:lpstr>
      <vt:lpstr>'Blank Sheet'!Sample7_1st_Depletion</vt:lpstr>
      <vt:lpstr>Sample7_1st_Depletion</vt:lpstr>
      <vt:lpstr>'Blank Sheet'!Sample7_1st_DepletionOK</vt:lpstr>
      <vt:lpstr>Sample7_1st_DepletionOK</vt:lpstr>
      <vt:lpstr>'Blank Sheet'!Sample7_1st_DOf</vt:lpstr>
      <vt:lpstr>Sample7_1st_DOf</vt:lpstr>
      <vt:lpstr>'Blank Sheet'!Sample7_1st_DOi</vt:lpstr>
      <vt:lpstr>Sample7_1st_DOi</vt:lpstr>
      <vt:lpstr>'Blank Sheet'!Sample7_1st_Seed_Volume</vt:lpstr>
      <vt:lpstr>Sample7_1st_Seed_Volume</vt:lpstr>
      <vt:lpstr>'Blank Sheet'!Sample7_1st_Volume</vt:lpstr>
      <vt:lpstr>Sample7_1st_Volume</vt:lpstr>
      <vt:lpstr>'Blank Sheet'!Sample7_2nd_Depletion</vt:lpstr>
      <vt:lpstr>Sample7_2nd_Depletion</vt:lpstr>
      <vt:lpstr>'Blank Sheet'!Sample7_2nd_DepletionOK</vt:lpstr>
      <vt:lpstr>Sample7_2nd_DepletionOK</vt:lpstr>
      <vt:lpstr>'Blank Sheet'!Sample7_2nd_DOf</vt:lpstr>
      <vt:lpstr>Sample7_2nd_DOf</vt:lpstr>
      <vt:lpstr>'Blank Sheet'!Sample7_2nd_DOi</vt:lpstr>
      <vt:lpstr>Sample7_2nd_DOi</vt:lpstr>
      <vt:lpstr>'Blank Sheet'!Sample7_2nd_Seed_Volume</vt:lpstr>
      <vt:lpstr>Sample7_2nd_Seed_Volume</vt:lpstr>
      <vt:lpstr>'Blank Sheet'!Sample7_2nd_Volume</vt:lpstr>
      <vt:lpstr>Sample7_2nd_Volume</vt:lpstr>
      <vt:lpstr>'Blank Sheet'!Sample7_3rd_Depletion</vt:lpstr>
      <vt:lpstr>Sample7_3rd_Depletion</vt:lpstr>
      <vt:lpstr>'Blank Sheet'!Sample7_3rd_DepletionOK</vt:lpstr>
      <vt:lpstr>Sample7_3rd_DepletionOK</vt:lpstr>
      <vt:lpstr>'Blank Sheet'!Sample7_3rd_DOf</vt:lpstr>
      <vt:lpstr>Sample7_3rd_DOf</vt:lpstr>
      <vt:lpstr>'Blank Sheet'!Sample7_3rd_DOi</vt:lpstr>
      <vt:lpstr>Sample7_3rd_DOi</vt:lpstr>
      <vt:lpstr>'Blank Sheet'!Sample7_3rd_Seed_Volume</vt:lpstr>
      <vt:lpstr>Sample7_3rd_Seed_Volume</vt:lpstr>
      <vt:lpstr>'Blank Sheet'!Sample7_3rd_Volume</vt:lpstr>
      <vt:lpstr>Sample7_3rd_Volume</vt:lpstr>
      <vt:lpstr>'Blank Sheet'!Seed_BOD_per_mL</vt:lpstr>
      <vt:lpstr>Seed_BOD_per_mL</vt:lpstr>
      <vt:lpstr>'Blank Sheet'!Seed1_Depletion</vt:lpstr>
      <vt:lpstr>Seed1_Depletion</vt:lpstr>
      <vt:lpstr>'Blank Sheet'!Seed1_DepletionOK</vt:lpstr>
      <vt:lpstr>Seed1_DepletionOK</vt:lpstr>
      <vt:lpstr>'Blank Sheet'!Seed1_DOf</vt:lpstr>
      <vt:lpstr>Seed1_DOf</vt:lpstr>
      <vt:lpstr>'Blank Sheet'!Seed1_DOi</vt:lpstr>
      <vt:lpstr>Seed1_DOi</vt:lpstr>
      <vt:lpstr>'Blank Sheet'!Seed1_VolumeOK</vt:lpstr>
      <vt:lpstr>Seed1_VolumeOK</vt:lpstr>
      <vt:lpstr>'Blank Sheet'!Seed2_Depletion</vt:lpstr>
      <vt:lpstr>Seed2_Depletion</vt:lpstr>
      <vt:lpstr>'Blank Sheet'!Seed2_DepletionOK</vt:lpstr>
      <vt:lpstr>Seed2_DepletionOK</vt:lpstr>
      <vt:lpstr>'Blank Sheet'!Seed2_DOf</vt:lpstr>
      <vt:lpstr>Seed2_DOf</vt:lpstr>
      <vt:lpstr>'Blank Sheet'!Seed2_DOi</vt:lpstr>
      <vt:lpstr>Seed2_DOi</vt:lpstr>
      <vt:lpstr>'Blank Sheet'!Seed2_VolumeOK</vt:lpstr>
      <vt:lpstr>Seed2_VolumeOK</vt:lpstr>
      <vt:lpstr>'Blank Sheet'!Seed3_Depletion</vt:lpstr>
      <vt:lpstr>Seed3_Depletion</vt:lpstr>
      <vt:lpstr>'Blank Sheet'!Seed3_DepletionOK</vt:lpstr>
      <vt:lpstr>Seed3_DepletionOK</vt:lpstr>
      <vt:lpstr>'Blank Sheet'!Seed3_DOf</vt:lpstr>
      <vt:lpstr>Seed3_DOf</vt:lpstr>
      <vt:lpstr>'Blank Sheet'!Seed3_DOi</vt:lpstr>
      <vt:lpstr>Seed3_DOi</vt:lpstr>
      <vt:lpstr>'Blank Sheet'!Seed3_VolumeOK</vt:lpstr>
      <vt:lpstr>Seed3_VolumeOK</vt:lpstr>
      <vt:lpstr>'Blank Sheet'!SeedStrength1</vt:lpstr>
      <vt:lpstr>SeedStrength1</vt:lpstr>
      <vt:lpstr>'Blank Sheet'!SeedStrength2</vt:lpstr>
      <vt:lpstr>SeedStrength2</vt:lpstr>
      <vt:lpstr>'Blank Sheet'!SeedStrength3</vt:lpstr>
      <vt:lpstr>SeedStrength3</vt:lpstr>
      <vt:lpstr>'Blank Sheet'!SeedStrengthAverage</vt:lpstr>
      <vt:lpstr>SeedStrengthAverage</vt:lpstr>
      <vt:lpstr>'Blank Sheet'!SeedStrengthFinal1</vt:lpstr>
      <vt:lpstr>SeedStrengthFinal1</vt:lpstr>
      <vt:lpstr>'Blank Sheet'!SeedStrengthFinal2</vt:lpstr>
      <vt:lpstr>SeedStrengthFinal2</vt:lpstr>
      <vt:lpstr>'Blank Sheet'!SeedStrengthFinal3</vt:lpstr>
      <vt:lpstr>SeedStrengthFinal3</vt:lpstr>
    </vt:vector>
  </TitlesOfParts>
  <Company>City of Northglenn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bemerson</dc:creator>
  <cp:lastModifiedBy>Sidney Innerebner</cp:lastModifiedBy>
  <cp:lastPrinted>2024-09-16T03:07:52Z</cp:lastPrinted>
  <dcterms:created xsi:type="dcterms:W3CDTF">2010-07-01T17:42:56Z</dcterms:created>
  <dcterms:modified xsi:type="dcterms:W3CDTF">2024-11-12T05:43:26Z</dcterms:modified>
</cp:coreProperties>
</file>