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9155" windowHeight="11700" activeTab="0"/>
  </bookViews>
  <sheets>
    <sheet name="Theoretical Calcs" sheetId="1" r:id="rId1"/>
  </sheets>
  <definedNames>
    <definedName name="Alkalinity">'Theoretical Calcs'!$B$20</definedName>
    <definedName name="AlRatio" localSheetId="0">'Theoretical Calcs'!$B$64</definedName>
    <definedName name="AlRatio">#REF!</definedName>
    <definedName name="AlumAcid">#REF!</definedName>
    <definedName name="AlumDil">#REF!</definedName>
    <definedName name="AtoPAlum" localSheetId="0">'Theoretical Calcs'!$D$48</definedName>
    <definedName name="AtoPAlum">#REF!</definedName>
    <definedName name="AtoPNaAluminate" localSheetId="0">'Theoretical Calcs'!$D$49</definedName>
    <definedName name="AtoPNaAluminate">#REF!</definedName>
    <definedName name="AtoPPAC" localSheetId="0">'Theoretical Calcs'!$D$50</definedName>
    <definedName name="AtoPPAC">#REF!</definedName>
    <definedName name="DenseAlum" localSheetId="0">'Theoretical Calcs'!$I$7</definedName>
    <definedName name="DenseAlum">#REF!</definedName>
    <definedName name="DenseFeCl2" localSheetId="0">'Theoretical Calcs'!$I$10</definedName>
    <definedName name="DenseFeCl2">#REF!</definedName>
    <definedName name="DenseFeSO4" localSheetId="0">'Theoretical Calcs'!$I$11</definedName>
    <definedName name="DenseFeSO4">#REF!</definedName>
    <definedName name="DenseNaAluminate" localSheetId="0">'Theoretical Calcs'!$I$8</definedName>
    <definedName name="DenseNaAluminate">#REF!</definedName>
    <definedName name="DensePAC" localSheetId="0">'Theoretical Calcs'!$I$9</definedName>
    <definedName name="DensePAC">#REF!</definedName>
    <definedName name="FeRatio" localSheetId="0">'Theoretical Calcs'!$B$63</definedName>
    <definedName name="FeRatio">#REF!</definedName>
    <definedName name="FerricAcid">#REF!</definedName>
    <definedName name="FerricDil">#REF!</definedName>
    <definedName name="FetoFeCl2" localSheetId="0">'Theoretical Calcs'!$D$51</definedName>
    <definedName name="FetoFeCl2">#REF!</definedName>
    <definedName name="FetoFeSO4" localSheetId="0">'Theoretical Calcs'!$D$52</definedName>
    <definedName name="FetoFeSO4">#REF!</definedName>
    <definedName name="g_to_kg">'Theoretical Calcs'!$F$42</definedName>
    <definedName name="JarVol">#REF!</definedName>
    <definedName name="LpKgAlum" localSheetId="0">'Theoretical Calcs'!$B$69</definedName>
    <definedName name="LpKgAlum">#REF!</definedName>
    <definedName name="LpKgFeCl2" localSheetId="0">'Theoretical Calcs'!$B$72</definedName>
    <definedName name="LpKgFeCl2">#REF!</definedName>
    <definedName name="LpKgFeSO4" localSheetId="0">'Theoretical Calcs'!$B$73</definedName>
    <definedName name="LpKgFeSO4">#REF!</definedName>
    <definedName name="LpKgNaAluminate" localSheetId="0">'Theoretical Calcs'!$B$70</definedName>
    <definedName name="LpKgNaAluminate">#REF!</definedName>
    <definedName name="LpKgPAC" localSheetId="0">'Theoretical Calcs'!$B$71</definedName>
    <definedName name="LpKgPAC">#REF!</definedName>
    <definedName name="Me_to_P_Ratio">'Theoretical Calcs'!$B$56</definedName>
    <definedName name="MeLAlum" localSheetId="0">'Theoretical Calcs'!$F$48</definedName>
    <definedName name="MeLAlum">#REF!</definedName>
    <definedName name="MeLFeCl2" localSheetId="0">'Theoretical Calcs'!$F$51</definedName>
    <definedName name="MeLFeCl2">#REF!</definedName>
    <definedName name="MeLFeSO4" localSheetId="0">'Theoretical Calcs'!$F$52</definedName>
    <definedName name="MeLFeSO4">#REF!</definedName>
    <definedName name="MeLNaAluminate" localSheetId="0">'Theoretical Calcs'!$F$49</definedName>
    <definedName name="MeLNaAluminate">#REF!</definedName>
    <definedName name="MeLPAC" localSheetId="0">'Theoretical Calcs'!$F$50</definedName>
    <definedName name="MeLPAC">#REF!</definedName>
    <definedName name="mg_to_grams" localSheetId="0">'Theoretical Calcs'!$F$41</definedName>
    <definedName name="mg_to_grams">#REF!</definedName>
    <definedName name="MWAl" localSheetId="0">'Theoretical Calcs'!$B$24</definedName>
    <definedName name="MWAl">#REF!</definedName>
    <definedName name="MWAlum" localSheetId="0">'Theoretical Calcs'!$C$7</definedName>
    <definedName name="MWAlum">#REF!</definedName>
    <definedName name="MWCa" localSheetId="0">'Theoretical Calcs'!$B$25</definedName>
    <definedName name="MWCa">#REF!</definedName>
    <definedName name="MWCl" localSheetId="0">'Theoretical Calcs'!$B$26</definedName>
    <definedName name="MWCl">#REF!</definedName>
    <definedName name="MWFe" localSheetId="0">'Theoretical Calcs'!$B$27</definedName>
    <definedName name="MWFe">#REF!</definedName>
    <definedName name="MWFerricCl" localSheetId="0">'Theoretical Calcs'!$C$10</definedName>
    <definedName name="MWFerricCl">#REF!</definedName>
    <definedName name="MWFerricSO4" localSheetId="0">'Theoretical Calcs'!$C$11</definedName>
    <definedName name="MWFerricSO4">#REF!</definedName>
    <definedName name="MWH" localSheetId="0">'Theoretical Calcs'!$B$28</definedName>
    <definedName name="MWH">#REF!</definedName>
    <definedName name="MWLime" localSheetId="0">'Theoretical Calcs'!$C$12</definedName>
    <definedName name="MWLime">#REF!</definedName>
    <definedName name="MWNa" localSheetId="0">'Theoretical Calcs'!$B$29</definedName>
    <definedName name="MWNa">#REF!</definedName>
    <definedName name="MWO" localSheetId="0">'Theoretical Calcs'!$B$30</definedName>
    <definedName name="MWO">#REF!</definedName>
    <definedName name="MWP" localSheetId="0">'Theoretical Calcs'!$B$31</definedName>
    <definedName name="MWP">#REF!</definedName>
    <definedName name="MWPAC" localSheetId="0">'Theoretical Calcs'!$C$9</definedName>
    <definedName name="MWPAC">#REF!</definedName>
    <definedName name="MWS" localSheetId="0">'Theoretical Calcs'!$B$32</definedName>
    <definedName name="MWS">#REF!</definedName>
    <definedName name="MWSlaked" localSheetId="0">'Theoretical Calcs'!$C$13</definedName>
    <definedName name="MWSlaked">#REF!</definedName>
    <definedName name="MWSodiumAluminate" localSheetId="0">'Theoretical Calcs'!$C$8</definedName>
    <definedName name="MWSodiumAluminate">#REF!</definedName>
    <definedName name="Peff" localSheetId="0">'Theoretical Calcs'!$B$22</definedName>
    <definedName name="Peff">#REF!</definedName>
    <definedName name="percent_to_mgperliter" localSheetId="0">'Theoretical Calcs'!$F$40</definedName>
    <definedName name="percent_to_mgperliter">#REF!</definedName>
    <definedName name="PercentAlum" localSheetId="0">'Theoretical Calcs'!$F$7</definedName>
    <definedName name="PercentAlum">#REF!</definedName>
    <definedName name="PercentFeCl2" localSheetId="0">'Theoretical Calcs'!$F$10</definedName>
    <definedName name="PercentFeCl2">#REF!</definedName>
    <definedName name="PercentFeSO4" localSheetId="0">'Theoretical Calcs'!$F$11</definedName>
    <definedName name="PercentFeSO4">#REF!</definedName>
    <definedName name="PercentNaAluminate" localSheetId="0">'Theoretical Calcs'!$F$8</definedName>
    <definedName name="PercentNaAluminate">#REF!</definedName>
    <definedName name="PercentPAC" localSheetId="0">'Theoretical Calcs'!$F$9</definedName>
    <definedName name="PercentPAC">#REF!</definedName>
    <definedName name="Pini" localSheetId="0">'Theoretical Calcs'!$B$21</definedName>
    <definedName name="Pini">#REF!</definedName>
    <definedName name="_xlnm.Print_Area" localSheetId="0">'Theoretical Calcs'!$A$1:$J$103</definedName>
    <definedName name="Qinf" localSheetId="0">'Theoretical Calcs'!$B$19</definedName>
    <definedName name="Qinf">#REF!</definedName>
    <definedName name="Qinf_metric">'Theoretical Calcs'!#REF!</definedName>
    <definedName name="QinfMetric" localSheetId="0">'Theoretical Calcs'!$C$77</definedName>
    <definedName name="QinfMetric">#REF!</definedName>
    <definedName name="WeightAlum" localSheetId="0">'Theoretical Calcs'!$B$39</definedName>
    <definedName name="WeightAlum">#REF!</definedName>
    <definedName name="WeightFeCl2" localSheetId="0">'Theoretical Calcs'!$B$42</definedName>
    <definedName name="WeightFeCl2">#REF!</definedName>
    <definedName name="WeightFeSO4" localSheetId="0">'Theoretical Calcs'!$B$43</definedName>
    <definedName name="WeightFeSO4">#REF!</definedName>
    <definedName name="WeightNaAluminate" localSheetId="0">'Theoretical Calcs'!$B$40</definedName>
    <definedName name="WeightNaAluminate">#REF!</definedName>
    <definedName name="WeightPAC" localSheetId="0">'Theoretical Calcs'!$B$41</definedName>
    <definedName name="WeightPAC">#REF!</definedName>
  </definedNames>
  <calcPr fullCalcOnLoad="1"/>
</workbook>
</file>

<file path=xl/comments1.xml><?xml version="1.0" encoding="utf-8"?>
<comments xmlns="http://schemas.openxmlformats.org/spreadsheetml/2006/main">
  <authors>
    <author>Sidney</author>
  </authors>
  <commentList>
    <comment ref="I6" authorId="0">
      <text>
        <r>
          <rPr>
            <b/>
            <sz val="9"/>
            <rFont val="Tahoma"/>
            <family val="2"/>
          </rPr>
          <t>Sidney:</t>
        </r>
        <r>
          <rPr>
            <sz val="9"/>
            <rFont val="Tahoma"/>
            <family val="2"/>
          </rPr>
          <t xml:space="preserve">
Same as specific gravity.</t>
        </r>
      </text>
    </comment>
    <comment ref="B9" authorId="0">
      <text>
        <r>
          <rPr>
            <b/>
            <sz val="9"/>
            <rFont val="Tahoma"/>
            <family val="2"/>
          </rPr>
          <t>Sidney:</t>
        </r>
        <r>
          <rPr>
            <sz val="9"/>
            <rFont val="Tahoma"/>
            <family val="2"/>
          </rPr>
          <t xml:space="preserve">
Molecular formula may vary depending on manufacturer.
m≤10, n=3~5</t>
        </r>
      </text>
    </comment>
    <comment ref="C9" authorId="0">
      <text>
        <r>
          <rPr>
            <b/>
            <sz val="9"/>
            <rFont val="Tahoma"/>
            <family val="0"/>
          </rPr>
          <t>Sidney:</t>
        </r>
        <r>
          <rPr>
            <sz val="9"/>
            <rFont val="Tahoma"/>
            <family val="0"/>
          </rPr>
          <t xml:space="preserve">
Molecular weight taken from http://www.surechemical.com/watertreatment/polyaluchloride.html</t>
        </r>
      </text>
    </comment>
    <comment ref="I11" authorId="0">
      <text>
        <r>
          <rPr>
            <b/>
            <sz val="9"/>
            <rFont val="Tahoma"/>
            <family val="2"/>
          </rPr>
          <t>Sidney:</t>
        </r>
        <r>
          <rPr>
            <sz val="9"/>
            <rFont val="Tahoma"/>
            <family val="2"/>
          </rPr>
          <t xml:space="preserve">
MSDS says 1.43 - 1.48</t>
        </r>
      </text>
    </comment>
  </commentList>
</comments>
</file>

<file path=xl/sharedStrings.xml><?xml version="1.0" encoding="utf-8"?>
<sst xmlns="http://schemas.openxmlformats.org/spreadsheetml/2006/main" count="189" uniqueCount="161">
  <si>
    <t>Chemical</t>
  </si>
  <si>
    <t>Formula</t>
  </si>
  <si>
    <t>Description</t>
  </si>
  <si>
    <t>Typical Weight Percent in Commercial Solutions</t>
  </si>
  <si>
    <t>Sodium Aluminate</t>
  </si>
  <si>
    <t>Polyaluminum chloride (PAC)</t>
  </si>
  <si>
    <t>Ferric chloride</t>
  </si>
  <si>
    <t>Lime</t>
  </si>
  <si>
    <t>Crystallized, dry form or liquid</t>
  </si>
  <si>
    <t>Powder or liquid form</t>
  </si>
  <si>
    <t>Range in the degree of basicity and aluminum concentration</t>
  </si>
  <si>
    <t>Orange-brown aqueous solution</t>
  </si>
  <si>
    <t>NA</t>
  </si>
  <si>
    <t>Assume:</t>
  </si>
  <si>
    <r>
      <t>Me</t>
    </r>
    <r>
      <rPr>
        <sz val="5"/>
        <color indexed="8"/>
        <rFont val="Arial"/>
        <family val="2"/>
      </rPr>
      <t>dose</t>
    </r>
    <r>
      <rPr>
        <sz val="10"/>
        <color indexed="8"/>
        <rFont val="Arial"/>
        <family val="2"/>
      </rPr>
      <t>/P</t>
    </r>
    <r>
      <rPr>
        <sz val="5"/>
        <color indexed="8"/>
        <rFont val="Arial"/>
        <family val="2"/>
      </rPr>
      <t>ini</t>
    </r>
  </si>
  <si>
    <r>
      <t>Al</t>
    </r>
    <r>
      <rPr>
        <sz val="5"/>
        <color indexed="8"/>
        <rFont val="Arial"/>
        <family val="2"/>
      </rPr>
      <t>2</t>
    </r>
    <r>
      <rPr>
        <sz val="10"/>
        <color indexed="8"/>
        <rFont val="Arial"/>
        <family val="2"/>
      </rPr>
      <t>(SO</t>
    </r>
    <r>
      <rPr>
        <sz val="5"/>
        <color indexed="8"/>
        <rFont val="Arial"/>
        <family val="2"/>
      </rPr>
      <t>4</t>
    </r>
    <r>
      <rPr>
        <sz val="10"/>
        <color indexed="8"/>
        <rFont val="Arial"/>
        <family val="2"/>
      </rPr>
      <t>)</t>
    </r>
    <r>
      <rPr>
        <sz val="5"/>
        <color indexed="8"/>
        <rFont val="Arial"/>
        <family val="2"/>
      </rPr>
      <t>3</t>
    </r>
    <r>
      <rPr>
        <sz val="10"/>
        <color indexed="8"/>
        <rFont val="Arial"/>
        <family val="2"/>
      </rPr>
      <t>*14(H</t>
    </r>
    <r>
      <rPr>
        <sz val="5"/>
        <color indexed="8"/>
        <rFont val="Arial"/>
        <family val="2"/>
      </rPr>
      <t>2</t>
    </r>
    <r>
      <rPr>
        <sz val="10"/>
        <color indexed="8"/>
        <rFont val="Arial"/>
        <family val="2"/>
      </rPr>
      <t>O)</t>
    </r>
  </si>
  <si>
    <r>
      <t>Na</t>
    </r>
    <r>
      <rPr>
        <sz val="5"/>
        <color indexed="8"/>
        <rFont val="Arial"/>
        <family val="2"/>
      </rPr>
      <t>2</t>
    </r>
    <r>
      <rPr>
        <sz val="10"/>
        <color indexed="8"/>
        <rFont val="Arial"/>
        <family val="2"/>
      </rPr>
      <t>Al</t>
    </r>
    <r>
      <rPr>
        <sz val="5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  <r>
      <rPr>
        <sz val="5"/>
        <color indexed="8"/>
        <rFont val="Arial"/>
        <family val="2"/>
      </rPr>
      <t>4</t>
    </r>
  </si>
  <si>
    <r>
      <t>FeCl</t>
    </r>
    <r>
      <rPr>
        <sz val="5"/>
        <color indexed="8"/>
        <rFont val="Arial"/>
        <family val="2"/>
      </rPr>
      <t>3</t>
    </r>
  </si>
  <si>
    <t>Influent Flow</t>
  </si>
  <si>
    <t>P at Secondary Effluent</t>
  </si>
  <si>
    <t>MGD</t>
  </si>
  <si>
    <t>Density, kg/L</t>
  </si>
  <si>
    <t>Formula Weight, g/mole</t>
  </si>
  <si>
    <t>Molecular Weight of P</t>
  </si>
  <si>
    <t>g/mole</t>
  </si>
  <si>
    <t>a.  Find weight of chemical per liter of solution.</t>
  </si>
  <si>
    <t>Molecular Weight of Chemical</t>
  </si>
  <si>
    <t>Ratio of Me/Chemical</t>
  </si>
  <si>
    <t>Weight of Me in Grams per Liter</t>
  </si>
  <si>
    <t>Molecular Weight of Fe</t>
  </si>
  <si>
    <t>Molecular Weight of Al</t>
  </si>
  <si>
    <t>Molecular Weight of S</t>
  </si>
  <si>
    <t>Molecular Weight of O</t>
  </si>
  <si>
    <t>Molecular Weight of Na</t>
  </si>
  <si>
    <t>Molecular Weight of Ca</t>
  </si>
  <si>
    <t>Molecular Weight of Cl</t>
  </si>
  <si>
    <t>MWAl</t>
  </si>
  <si>
    <t>Molecular Weight of H</t>
  </si>
  <si>
    <t>Slaked or Hydrated Lime</t>
  </si>
  <si>
    <t>CaO</t>
  </si>
  <si>
    <r>
      <t>Ca(OH)</t>
    </r>
    <r>
      <rPr>
        <sz val="5"/>
        <color indexed="8"/>
        <rFont val="Arial"/>
        <family val="2"/>
      </rPr>
      <t>3</t>
    </r>
  </si>
  <si>
    <t>Dry white powder, CaO</t>
  </si>
  <si>
    <t>White slurry</t>
  </si>
  <si>
    <t>Desired effluent P</t>
  </si>
  <si>
    <t>mg/L as P</t>
  </si>
  <si>
    <t>For Effluent P lower than 0.5 mg/L.  Value of 6 - 7 is typical.</t>
  </si>
  <si>
    <t>MWAlum</t>
  </si>
  <si>
    <t>MWCa</t>
  </si>
  <si>
    <t>MWCl</t>
  </si>
  <si>
    <t>MWFe</t>
  </si>
  <si>
    <t>MWH</t>
  </si>
  <si>
    <t>MWNa</t>
  </si>
  <si>
    <t>MWO</t>
  </si>
  <si>
    <t>MWP</t>
  </si>
  <si>
    <t>MWS</t>
  </si>
  <si>
    <t>MWSodiumAluminate</t>
  </si>
  <si>
    <t>MWPAC</t>
  </si>
  <si>
    <t>MWLime</t>
  </si>
  <si>
    <t>MWSlaked</t>
  </si>
  <si>
    <t>Ferric sulfate</t>
  </si>
  <si>
    <r>
      <t>Fe</t>
    </r>
    <r>
      <rPr>
        <sz val="5"/>
        <color indexed="8"/>
        <rFont val="Arial"/>
        <family val="2"/>
      </rPr>
      <t>2</t>
    </r>
    <r>
      <rPr>
        <sz val="10"/>
        <color indexed="8"/>
        <rFont val="Arial"/>
        <family val="2"/>
      </rPr>
      <t>SO</t>
    </r>
    <r>
      <rPr>
        <sz val="5"/>
        <color indexed="8"/>
        <rFont val="Arial"/>
        <family val="2"/>
      </rPr>
      <t>4</t>
    </r>
  </si>
  <si>
    <t>MWFerricCl</t>
  </si>
  <si>
    <t>MWFerricSO4</t>
  </si>
  <si>
    <t>Green Aqueous Solution</t>
  </si>
  <si>
    <t>Variable Name</t>
  </si>
  <si>
    <r>
      <rPr>
        <b/>
        <sz val="10"/>
        <color indexed="8"/>
        <rFont val="Arial"/>
        <family val="2"/>
      </rPr>
      <t>Step 1</t>
    </r>
    <r>
      <rPr>
        <sz val="10"/>
        <color indexed="8"/>
        <rFont val="Arial"/>
        <family val="2"/>
      </rPr>
      <t>.  Determine weight of Me available per liter of liquid chemical.</t>
    </r>
  </si>
  <si>
    <t>Note:  P precipitation with lime or slaked lime is a function of pH, not Me.</t>
  </si>
  <si>
    <t>Aluminum sulfate (Alum) - Liquid</t>
  </si>
  <si>
    <t>Density, lb/gallon</t>
  </si>
  <si>
    <t>Link to MSDS</t>
  </si>
  <si>
    <t>http://www.sciencelab.com/msds.php?msdsId=9924035</t>
  </si>
  <si>
    <t>http://www.deltachemical.com/PDFS/DeltaAlumLiquid.pdf</t>
  </si>
  <si>
    <t>http://www.deltachemical.com/PDFS/DeltaSodiumAluminate.pdf</t>
  </si>
  <si>
    <t>http://msds.orica.com/pdf/shess-en-cds-020-000000015710.pdf</t>
  </si>
  <si>
    <t>http://www.generalchemical.com/assets/msds/GC-7002.pdf</t>
  </si>
  <si>
    <t>Liquid Alum</t>
  </si>
  <si>
    <t>PercentAlum</t>
  </si>
  <si>
    <t>PercentPAC</t>
  </si>
  <si>
    <t>PercentFeCl2</t>
  </si>
  <si>
    <t>PercentFeSO4</t>
  </si>
  <si>
    <t>PercentNaAluminate</t>
  </si>
  <si>
    <t>DenseAlum</t>
  </si>
  <si>
    <t>DenseNaAluminate</t>
  </si>
  <si>
    <t>DensePAC</t>
  </si>
  <si>
    <t>DenseFeCl2</t>
  </si>
  <si>
    <t>DenseFeSO4</t>
  </si>
  <si>
    <t>WeightAlum</t>
  </si>
  <si>
    <t>WeightNaAluminate</t>
  </si>
  <si>
    <t>WeightPAC</t>
  </si>
  <si>
    <t>WeightFeCl2</t>
  </si>
  <si>
    <t>WeightFeSO4</t>
  </si>
  <si>
    <t>AtoPAlum</t>
  </si>
  <si>
    <t>AtoPNaAluminate</t>
  </si>
  <si>
    <t>AtoPPAC</t>
  </si>
  <si>
    <t>FetoFeCl2</t>
  </si>
  <si>
    <t>FetoFeSO4</t>
  </si>
  <si>
    <t>b.  Find weight of Me per liter of solution.</t>
  </si>
  <si>
    <r>
      <rPr>
        <b/>
        <sz val="10"/>
        <color indexed="8"/>
        <rFont val="Arial"/>
        <family val="2"/>
      </rPr>
      <t>Step 2.</t>
    </r>
    <r>
      <rPr>
        <sz val="10"/>
        <color indexed="8"/>
        <rFont val="Arial"/>
        <family val="2"/>
      </rPr>
      <t xml:space="preserve">  Determine the weight of Fe or Aluminum required per unit weight of P.</t>
    </r>
  </si>
  <si>
    <t>a.  Target dosage =</t>
  </si>
  <si>
    <t>For Effluent P less than 1 mg/L.  Value of 1.5 - 2 is typical to remove up to 98% of P.</t>
  </si>
  <si>
    <t>b.  Iron required =</t>
  </si>
  <si>
    <t>c.  Aluminum required =</t>
  </si>
  <si>
    <t>kg Al / kg P</t>
  </si>
  <si>
    <t>kg Fe / kg P</t>
  </si>
  <si>
    <r>
      <t>moles of Fe</t>
    </r>
    <r>
      <rPr>
        <sz val="5"/>
        <color indexed="8"/>
        <rFont val="Arial"/>
        <family val="2"/>
      </rPr>
      <t>dose</t>
    </r>
    <r>
      <rPr>
        <sz val="10"/>
        <color indexed="8"/>
        <rFont val="Arial"/>
        <family val="2"/>
      </rPr>
      <t xml:space="preserve"> per 1.0 mole P (P</t>
    </r>
    <r>
      <rPr>
        <sz val="5"/>
        <color indexed="8"/>
        <rFont val="Arial"/>
        <family val="2"/>
      </rPr>
      <t>ini</t>
    </r>
    <r>
      <rPr>
        <sz val="10"/>
        <color indexed="8"/>
        <rFont val="Arial"/>
        <family val="2"/>
      </rPr>
      <t>).</t>
    </r>
  </si>
  <si>
    <t>Note:  Use a target dosage of 7 mg/L to remove P down to 0.1 mg/L</t>
  </si>
  <si>
    <t>Note:  P must be in the ortho form for chemical precipitation to work.  Organically bound P and poly-P will not be precipitated.</t>
  </si>
  <si>
    <t>Note:  Use a target dosage of 2 to remove P down to 1 mg/L.</t>
  </si>
  <si>
    <r>
      <rPr>
        <b/>
        <sz val="10"/>
        <color indexed="8"/>
        <rFont val="Arial"/>
        <family val="2"/>
      </rPr>
      <t>Step 3.</t>
    </r>
    <r>
      <rPr>
        <sz val="10"/>
        <color indexed="8"/>
        <rFont val="Arial"/>
        <family val="2"/>
      </rPr>
      <t xml:space="preserve">  Determine the amount of chemical solution required per kg P.</t>
    </r>
  </si>
  <si>
    <t>MeLAlum</t>
  </si>
  <si>
    <t>MeLNaAluminate</t>
  </si>
  <si>
    <t>MeLPAC</t>
  </si>
  <si>
    <t>MeLFeCl2</t>
  </si>
  <si>
    <t>MeLFeSO4</t>
  </si>
  <si>
    <t>liters solution / kg P</t>
  </si>
  <si>
    <t>FeRatio</t>
  </si>
  <si>
    <t>AlRatio</t>
  </si>
  <si>
    <t>Qinf</t>
  </si>
  <si>
    <t>Pini</t>
  </si>
  <si>
    <t>Peff</t>
  </si>
  <si>
    <t>Value</t>
  </si>
  <si>
    <t>Units</t>
  </si>
  <si>
    <t>LpKgAlum</t>
  </si>
  <si>
    <t>LpKgNaAluminate</t>
  </si>
  <si>
    <t>LpKgPAC</t>
  </si>
  <si>
    <t>LpKgFeCl2</t>
  </si>
  <si>
    <t>LpKgFeSO4</t>
  </si>
  <si>
    <r>
      <rPr>
        <b/>
        <sz val="10"/>
        <color indexed="8"/>
        <rFont val="Arial"/>
        <family val="2"/>
      </rPr>
      <t xml:space="preserve">Step 4.  </t>
    </r>
    <r>
      <rPr>
        <sz val="10"/>
        <color indexed="8"/>
        <rFont val="Arial"/>
        <family val="2"/>
      </rPr>
      <t>Determine the amount of chemical solution required per day.</t>
    </r>
  </si>
  <si>
    <t>a.  Convert influent flow rate to Liters per day</t>
  </si>
  <si>
    <t>QinfMetric</t>
  </si>
  <si>
    <t>b.  Calculate amount of chemical solution required per day.</t>
  </si>
  <si>
    <t>Liters/day</t>
  </si>
  <si>
    <t>Gallons/day</t>
  </si>
  <si>
    <t>Enter minimum days storage:</t>
  </si>
  <si>
    <t>days</t>
  </si>
  <si>
    <t>Molecular Weight of Metal</t>
  </si>
  <si>
    <t>Parameter</t>
  </si>
  <si>
    <t>Phosphorus Precipitation Spreadsheet</t>
  </si>
  <si>
    <t>User entered values = Yellow cells with blue font.</t>
  </si>
  <si>
    <r>
      <rPr>
        <b/>
        <sz val="10"/>
        <color indexed="17"/>
        <rFont val="Arial"/>
        <family val="2"/>
      </rPr>
      <t xml:space="preserve">Green font </t>
    </r>
    <r>
      <rPr>
        <sz val="10"/>
        <color indexed="8"/>
        <rFont val="Arial"/>
        <family val="2"/>
      </rPr>
      <t>indicates a variable name used within an equation.  This spreadsheet uses named cells to simplify calculation tracking.</t>
    </r>
  </si>
  <si>
    <r>
      <rPr>
        <b/>
        <sz val="10"/>
        <color indexed="8"/>
        <rFont val="Arial"/>
        <family val="2"/>
      </rPr>
      <t>Step 5.</t>
    </r>
    <r>
      <rPr>
        <sz val="10"/>
        <color indexed="8"/>
        <rFont val="Arial"/>
        <family val="2"/>
      </rPr>
      <t xml:space="preserve">  Estimate Storage Tank Footprint.</t>
    </r>
  </si>
  <si>
    <t>Assume:  Cylindrical tank</t>
  </si>
  <si>
    <t>Assume:  Depth is equal to</t>
  </si>
  <si>
    <t>feet</t>
  </si>
  <si>
    <t>Cubic Feet</t>
  </si>
  <si>
    <t>Diameter, ft</t>
  </si>
  <si>
    <t>Feed Rate, gpm</t>
  </si>
  <si>
    <t>Password:  Indigo</t>
  </si>
  <si>
    <t>[Al2(OH)nCl6－n·xH2O]m</t>
  </si>
  <si>
    <t>mg/L = (10,000)(% w/w)(specific gravity)</t>
  </si>
  <si>
    <t>Conversion Factors</t>
  </si>
  <si>
    <t>mg/L in 1% solution</t>
  </si>
  <si>
    <t>mg/g</t>
  </si>
  <si>
    <t>Wastewater Alkalinity</t>
  </si>
  <si>
    <t>mg/L as CaCO3</t>
  </si>
  <si>
    <t>Alkalinity</t>
  </si>
  <si>
    <t>Weight of Chemical in Kilograms per Liter</t>
  </si>
  <si>
    <t>g/kg</t>
  </si>
  <si>
    <t>kg/L</t>
  </si>
  <si>
    <t>Reference:  EPA/600/R-10/100 (August 2010) Nutrient Control Design Manual</t>
  </si>
  <si>
    <t>Reference:  Metcalf and Eddy (2014) Wastewater Engineering, Treatment and Resource Recovery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</si>
</sst>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2">
    <font>
      <sz val="11"/>
      <color theme="1"/>
      <name val="Calibri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5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sz val="16"/>
      <color indexed="8"/>
      <name val="Arial"/>
      <family val="2"/>
    </font>
    <font>
      <sz val="10"/>
      <color indexed="55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20"/>
      <color indexed="17"/>
      <name val="Arial"/>
      <family val="2"/>
    </font>
    <font>
      <sz val="20"/>
      <color indexed="20"/>
      <name val="Arial"/>
      <family val="2"/>
    </font>
    <font>
      <sz val="20"/>
      <color indexed="60"/>
      <name val="Arial"/>
      <family val="2"/>
    </font>
    <font>
      <sz val="20"/>
      <color indexed="62"/>
      <name val="Arial"/>
      <family val="2"/>
    </font>
    <font>
      <b/>
      <sz val="20"/>
      <color indexed="63"/>
      <name val="Arial"/>
      <family val="2"/>
    </font>
    <font>
      <b/>
      <sz val="20"/>
      <color indexed="52"/>
      <name val="Arial"/>
      <family val="2"/>
    </font>
    <font>
      <sz val="20"/>
      <color indexed="52"/>
      <name val="Arial"/>
      <family val="2"/>
    </font>
    <font>
      <b/>
      <sz val="20"/>
      <color indexed="9"/>
      <name val="Arial"/>
      <family val="2"/>
    </font>
    <font>
      <sz val="20"/>
      <color indexed="10"/>
      <name val="Arial"/>
      <family val="2"/>
    </font>
    <font>
      <i/>
      <sz val="20"/>
      <color indexed="23"/>
      <name val="Arial"/>
      <family val="2"/>
    </font>
    <font>
      <b/>
      <sz val="20"/>
      <color indexed="8"/>
      <name val="Arial"/>
      <family val="2"/>
    </font>
    <font>
      <sz val="20"/>
      <color indexed="9"/>
      <name val="Arial"/>
      <family val="2"/>
    </font>
    <font>
      <sz val="20"/>
      <color theme="1"/>
      <name val="Arial"/>
      <family val="2"/>
    </font>
    <font>
      <sz val="20"/>
      <color theme="0"/>
      <name val="Arial"/>
      <family val="2"/>
    </font>
    <font>
      <sz val="20"/>
      <color rgb="FF9C0006"/>
      <name val="Arial"/>
      <family val="2"/>
    </font>
    <font>
      <b/>
      <sz val="20"/>
      <color rgb="FFFA7D00"/>
      <name val="Arial"/>
      <family val="2"/>
    </font>
    <font>
      <b/>
      <sz val="20"/>
      <color theme="0"/>
      <name val="Arial"/>
      <family val="2"/>
    </font>
    <font>
      <i/>
      <sz val="20"/>
      <color rgb="FF7F7F7F"/>
      <name val="Arial"/>
      <family val="2"/>
    </font>
    <font>
      <sz val="2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20"/>
      <color rgb="FF3F3F76"/>
      <name val="Arial"/>
      <family val="2"/>
    </font>
    <font>
      <sz val="20"/>
      <color rgb="FFFA7D00"/>
      <name val="Arial"/>
      <family val="2"/>
    </font>
    <font>
      <sz val="20"/>
      <color rgb="FF9C6500"/>
      <name val="Arial"/>
      <family val="2"/>
    </font>
    <font>
      <b/>
      <sz val="20"/>
      <color rgb="FF3F3F3F"/>
      <name val="Arial"/>
      <family val="2"/>
    </font>
    <font>
      <b/>
      <sz val="18"/>
      <color theme="3"/>
      <name val="Cambria"/>
      <family val="2"/>
    </font>
    <font>
      <b/>
      <sz val="20"/>
      <color theme="1"/>
      <name val="Arial"/>
      <family val="2"/>
    </font>
    <font>
      <sz val="20"/>
      <color rgb="FFFF0000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rgb="FF0070C0"/>
      <name val="Arial"/>
      <family val="2"/>
    </font>
    <font>
      <sz val="16"/>
      <color theme="1"/>
      <name val="Arial"/>
      <family val="2"/>
    </font>
    <font>
      <sz val="10"/>
      <color theme="0" tint="-0.24997000396251678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theme="3"/>
      </left>
      <right style="thin"/>
      <top style="thin">
        <color theme="3"/>
      </top>
      <bottom style="thin">
        <color theme="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left" wrapText="1" indent="3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164" fontId="52" fillId="0" borderId="0" xfId="0" applyNumberFormat="1" applyFont="1" applyAlignment="1">
      <alignment horizontal="center"/>
    </xf>
    <xf numFmtId="2" fontId="52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2" fillId="0" borderId="0" xfId="0" applyFont="1" applyBorder="1" applyAlignment="1">
      <alignment horizontal="left"/>
    </xf>
    <xf numFmtId="2" fontId="52" fillId="0" borderId="0" xfId="0" applyNumberFormat="1" applyFont="1" applyBorder="1" applyAlignment="1">
      <alignment horizontal="center"/>
    </xf>
    <xf numFmtId="0" fontId="52" fillId="0" borderId="11" xfId="0" applyFont="1" applyBorder="1" applyAlignment="1">
      <alignment horizontal="left"/>
    </xf>
    <xf numFmtId="2" fontId="52" fillId="0" borderId="11" xfId="0" applyNumberFormat="1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wrapText="1"/>
    </xf>
    <xf numFmtId="0" fontId="52" fillId="0" borderId="14" xfId="0" applyFont="1" applyBorder="1" applyAlignment="1">
      <alignment horizontal="left" wrapText="1"/>
    </xf>
    <xf numFmtId="0" fontId="52" fillId="0" borderId="14" xfId="0" applyFont="1" applyBorder="1" applyAlignment="1">
      <alignment horizontal="center" wrapText="1"/>
    </xf>
    <xf numFmtId="0" fontId="52" fillId="0" borderId="14" xfId="0" applyFont="1" applyBorder="1" applyAlignment="1">
      <alignment wrapText="1"/>
    </xf>
    <xf numFmtId="0" fontId="52" fillId="0" borderId="15" xfId="0" applyFont="1" applyBorder="1" applyAlignment="1">
      <alignment wrapText="1"/>
    </xf>
    <xf numFmtId="0" fontId="52" fillId="0" borderId="16" xfId="0" applyFont="1" applyBorder="1" applyAlignment="1">
      <alignment wrapText="1"/>
    </xf>
    <xf numFmtId="0" fontId="52" fillId="0" borderId="17" xfId="0" applyFont="1" applyBorder="1" applyAlignment="1">
      <alignment wrapText="1"/>
    </xf>
    <xf numFmtId="0" fontId="52" fillId="0" borderId="18" xfId="0" applyFont="1" applyBorder="1" applyAlignment="1">
      <alignment horizontal="left"/>
    </xf>
    <xf numFmtId="2" fontId="52" fillId="0" borderId="18" xfId="0" applyNumberFormat="1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3" fillId="0" borderId="19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18" xfId="0" applyFont="1" applyBorder="1" applyAlignment="1">
      <alignment/>
    </xf>
    <xf numFmtId="0" fontId="52" fillId="0" borderId="11" xfId="0" applyFont="1" applyBorder="1" applyAlignment="1" applyProtection="1">
      <alignment horizontal="center"/>
      <protection locked="0"/>
    </xf>
    <xf numFmtId="0" fontId="52" fillId="0" borderId="18" xfId="0" applyFont="1" applyBorder="1" applyAlignment="1" applyProtection="1">
      <alignment horizontal="center"/>
      <protection locked="0"/>
    </xf>
    <xf numFmtId="0" fontId="53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 applyProtection="1">
      <alignment horizontal="center"/>
      <protection locked="0"/>
    </xf>
    <xf numFmtId="0" fontId="52" fillId="0" borderId="0" xfId="0" applyFont="1" applyBorder="1" applyAlignment="1" applyProtection="1">
      <alignment/>
      <protection locked="0"/>
    </xf>
    <xf numFmtId="0" fontId="54" fillId="0" borderId="0" xfId="0" applyFont="1" applyBorder="1" applyAlignment="1">
      <alignment/>
    </xf>
    <xf numFmtId="0" fontId="52" fillId="0" borderId="20" xfId="0" applyFont="1" applyBorder="1" applyAlignment="1">
      <alignment wrapText="1"/>
    </xf>
    <xf numFmtId="0" fontId="44" fillId="0" borderId="0" xfId="52" applyAlignment="1">
      <alignment/>
    </xf>
    <xf numFmtId="2" fontId="52" fillId="0" borderId="21" xfId="0" applyNumberFormat="1" applyFont="1" applyBorder="1" applyAlignment="1" applyProtection="1">
      <alignment horizontal="center"/>
      <protection locked="0"/>
    </xf>
    <xf numFmtId="2" fontId="52" fillId="0" borderId="22" xfId="0" applyNumberFormat="1" applyFont="1" applyBorder="1" applyAlignment="1" applyProtection="1">
      <alignment/>
      <protection locked="0"/>
    </xf>
    <xf numFmtId="0" fontId="55" fillId="0" borderId="12" xfId="0" applyFont="1" applyBorder="1" applyAlignment="1">
      <alignment shrinkToFit="1"/>
    </xf>
    <xf numFmtId="0" fontId="55" fillId="0" borderId="11" xfId="0" applyFont="1" applyBorder="1" applyAlignment="1">
      <alignment shrinkToFit="1"/>
    </xf>
    <xf numFmtId="0" fontId="55" fillId="0" borderId="11" xfId="0" applyFont="1" applyBorder="1" applyAlignment="1">
      <alignment wrapText="1" shrinkToFit="1"/>
    </xf>
    <xf numFmtId="0" fontId="55" fillId="0" borderId="18" xfId="0" applyFont="1" applyBorder="1" applyAlignment="1">
      <alignment/>
    </xf>
    <xf numFmtId="0" fontId="52" fillId="0" borderId="23" xfId="0" applyFont="1" applyBorder="1" applyAlignment="1">
      <alignment horizontal="center" wrapText="1"/>
    </xf>
    <xf numFmtId="0" fontId="53" fillId="0" borderId="24" xfId="0" applyFont="1" applyBorder="1" applyAlignment="1" applyProtection="1">
      <alignment horizontal="center"/>
      <protection locked="0"/>
    </xf>
    <xf numFmtId="0" fontId="53" fillId="0" borderId="25" xfId="0" applyFont="1" applyBorder="1" applyAlignment="1" applyProtection="1">
      <alignment horizontal="center"/>
      <protection locked="0"/>
    </xf>
    <xf numFmtId="0" fontId="53" fillId="0" borderId="26" xfId="0" applyFont="1" applyBorder="1" applyAlignment="1" applyProtection="1">
      <alignment horizontal="left"/>
      <protection locked="0"/>
    </xf>
    <xf numFmtId="0" fontId="53" fillId="0" borderId="24" xfId="0" applyFont="1" applyBorder="1" applyAlignment="1" applyProtection="1">
      <alignment horizontal="left"/>
      <protection locked="0"/>
    </xf>
    <xf numFmtId="0" fontId="52" fillId="0" borderId="27" xfId="0" applyFont="1" applyBorder="1" applyAlignment="1">
      <alignment horizontal="center" wrapText="1"/>
    </xf>
    <xf numFmtId="0" fontId="52" fillId="0" borderId="28" xfId="0" applyFont="1" applyBorder="1" applyAlignment="1">
      <alignment horizontal="center" wrapText="1"/>
    </xf>
    <xf numFmtId="2" fontId="8" fillId="0" borderId="11" xfId="0" applyNumberFormat="1" applyFont="1" applyBorder="1" applyAlignment="1" applyProtection="1">
      <alignment horizontal="center"/>
      <protection/>
    </xf>
    <xf numFmtId="2" fontId="53" fillId="0" borderId="21" xfId="0" applyNumberFormat="1" applyFont="1" applyBorder="1" applyAlignment="1" applyProtection="1">
      <alignment horizontal="left"/>
      <protection locked="0"/>
    </xf>
    <xf numFmtId="2" fontId="52" fillId="0" borderId="11" xfId="0" applyNumberFormat="1" applyFont="1" applyBorder="1" applyAlignment="1" applyProtection="1">
      <alignment horizontal="center"/>
      <protection locked="0"/>
    </xf>
    <xf numFmtId="2" fontId="8" fillId="0" borderId="18" xfId="0" applyNumberFormat="1" applyFont="1" applyBorder="1" applyAlignment="1" applyProtection="1">
      <alignment horizontal="center"/>
      <protection/>
    </xf>
    <xf numFmtId="2" fontId="52" fillId="0" borderId="18" xfId="0" applyNumberFormat="1" applyFont="1" applyBorder="1" applyAlignment="1" applyProtection="1">
      <alignment/>
      <protection locked="0"/>
    </xf>
    <xf numFmtId="2" fontId="8" fillId="0" borderId="12" xfId="0" applyNumberFormat="1" applyFont="1" applyBorder="1" applyAlignment="1" applyProtection="1">
      <alignment horizontal="center"/>
      <protection/>
    </xf>
    <xf numFmtId="2" fontId="53" fillId="0" borderId="29" xfId="0" applyNumberFormat="1" applyFont="1" applyBorder="1" applyAlignment="1" applyProtection="1">
      <alignment horizontal="left"/>
      <protection locked="0"/>
    </xf>
    <xf numFmtId="0" fontId="54" fillId="0" borderId="0" xfId="0" applyFont="1" applyAlignment="1">
      <alignment horizontal="left" indent="3"/>
    </xf>
    <xf numFmtId="2" fontId="56" fillId="0" borderId="0" xfId="0" applyNumberFormat="1" applyFont="1" applyAlignment="1">
      <alignment horizontal="left" indent="3"/>
    </xf>
    <xf numFmtId="3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right"/>
    </xf>
    <xf numFmtId="0" fontId="52" fillId="0" borderId="30" xfId="0" applyFont="1" applyBorder="1" applyAlignment="1">
      <alignment wrapText="1"/>
    </xf>
    <xf numFmtId="0" fontId="53" fillId="0" borderId="31" xfId="0" applyFont="1" applyBorder="1" applyAlignment="1">
      <alignment/>
    </xf>
    <xf numFmtId="0" fontId="52" fillId="0" borderId="32" xfId="0" applyFont="1" applyBorder="1" applyAlignment="1">
      <alignment horizontal="left"/>
    </xf>
    <xf numFmtId="2" fontId="52" fillId="0" borderId="32" xfId="0" applyNumberFormat="1" applyFont="1" applyBorder="1" applyAlignment="1">
      <alignment horizontal="center"/>
    </xf>
    <xf numFmtId="2" fontId="57" fillId="33" borderId="33" xfId="0" applyNumberFormat="1" applyFont="1" applyFill="1" applyBorder="1" applyAlignment="1" applyProtection="1">
      <alignment horizontal="center"/>
      <protection locked="0"/>
    </xf>
    <xf numFmtId="0" fontId="57" fillId="33" borderId="12" xfId="0" applyFont="1" applyFill="1" applyBorder="1" applyAlignment="1" applyProtection="1">
      <alignment horizontal="center"/>
      <protection locked="0"/>
    </xf>
    <xf numFmtId="0" fontId="57" fillId="33" borderId="11" xfId="0" applyFont="1" applyFill="1" applyBorder="1" applyAlignment="1" applyProtection="1">
      <alignment horizontal="center"/>
      <protection locked="0"/>
    </xf>
    <xf numFmtId="2" fontId="57" fillId="33" borderId="11" xfId="0" applyNumberFormat="1" applyFont="1" applyFill="1" applyBorder="1" applyAlignment="1" applyProtection="1">
      <alignment horizontal="center"/>
      <protection locked="0"/>
    </xf>
    <xf numFmtId="0" fontId="57" fillId="33" borderId="34" xfId="0" applyFont="1" applyFill="1" applyBorder="1" applyAlignment="1" applyProtection="1">
      <alignment horizontal="center"/>
      <protection locked="0"/>
    </xf>
    <xf numFmtId="164" fontId="52" fillId="0" borderId="11" xfId="0" applyNumberFormat="1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15" xfId="0" applyFont="1" applyBorder="1" applyAlignment="1">
      <alignment horizontal="left" wrapText="1" indent="3"/>
    </xf>
    <xf numFmtId="2" fontId="53" fillId="0" borderId="29" xfId="0" applyNumberFormat="1" applyFont="1" applyBorder="1" applyAlignment="1">
      <alignment horizontal="left" shrinkToFit="1"/>
    </xf>
    <xf numFmtId="0" fontId="52" fillId="0" borderId="16" xfId="0" applyFont="1" applyBorder="1" applyAlignment="1">
      <alignment horizontal="left" wrapText="1" indent="3"/>
    </xf>
    <xf numFmtId="2" fontId="53" fillId="0" borderId="21" xfId="0" applyNumberFormat="1" applyFont="1" applyBorder="1" applyAlignment="1">
      <alignment horizontal="left" shrinkToFit="1"/>
    </xf>
    <xf numFmtId="0" fontId="52" fillId="0" borderId="17" xfId="0" applyFont="1" applyBorder="1" applyAlignment="1">
      <alignment horizontal="left" wrapText="1" indent="3"/>
    </xf>
    <xf numFmtId="164" fontId="52" fillId="0" borderId="18" xfId="0" applyNumberFormat="1" applyFont="1" applyBorder="1" applyAlignment="1">
      <alignment horizontal="center"/>
    </xf>
    <xf numFmtId="2" fontId="53" fillId="0" borderId="22" xfId="0" applyNumberFormat="1" applyFont="1" applyBorder="1" applyAlignment="1">
      <alignment horizontal="left" shrinkToFit="1"/>
    </xf>
    <xf numFmtId="0" fontId="52" fillId="0" borderId="35" xfId="0" applyFont="1" applyBorder="1" applyAlignment="1">
      <alignment wrapText="1"/>
    </xf>
    <xf numFmtId="0" fontId="53" fillId="0" borderId="21" xfId="0" applyFont="1" applyBorder="1" applyAlignment="1">
      <alignment/>
    </xf>
    <xf numFmtId="0" fontId="53" fillId="0" borderId="22" xfId="0" applyFont="1" applyBorder="1" applyAlignment="1">
      <alignment/>
    </xf>
    <xf numFmtId="0" fontId="53" fillId="0" borderId="29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2" fillId="0" borderId="23" xfId="0" applyFont="1" applyBorder="1" applyAlignment="1">
      <alignment/>
    </xf>
    <xf numFmtId="0" fontId="52" fillId="0" borderId="36" xfId="0" applyFont="1" applyBorder="1" applyAlignment="1">
      <alignment wrapText="1"/>
    </xf>
    <xf numFmtId="0" fontId="52" fillId="0" borderId="37" xfId="0" applyFont="1" applyBorder="1" applyAlignment="1">
      <alignment/>
    </xf>
    <xf numFmtId="0" fontId="52" fillId="0" borderId="38" xfId="0" applyFont="1" applyBorder="1" applyAlignment="1">
      <alignment/>
    </xf>
    <xf numFmtId="0" fontId="53" fillId="0" borderId="21" xfId="0" applyFont="1" applyBorder="1" applyAlignment="1">
      <alignment shrinkToFit="1"/>
    </xf>
    <xf numFmtId="3" fontId="52" fillId="0" borderId="21" xfId="0" applyNumberFormat="1" applyFont="1" applyBorder="1" applyAlignment="1">
      <alignment horizontal="center"/>
    </xf>
    <xf numFmtId="3" fontId="52" fillId="0" borderId="22" xfId="0" applyNumberFormat="1" applyFont="1" applyBorder="1" applyAlignment="1">
      <alignment horizontal="center"/>
    </xf>
    <xf numFmtId="3" fontId="52" fillId="0" borderId="29" xfId="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57" fillId="33" borderId="11" xfId="0" applyFont="1" applyFill="1" applyBorder="1" applyAlignment="1">
      <alignment/>
    </xf>
    <xf numFmtId="0" fontId="57" fillId="33" borderId="11" xfId="0" applyFont="1" applyFill="1" applyBorder="1" applyAlignment="1">
      <alignment horizontal="center"/>
    </xf>
    <xf numFmtId="1" fontId="57" fillId="33" borderId="34" xfId="0" applyNumberFormat="1" applyFont="1" applyFill="1" applyBorder="1" applyAlignment="1" applyProtection="1">
      <alignment horizontal="center"/>
      <protection locked="0"/>
    </xf>
    <xf numFmtId="1" fontId="52" fillId="0" borderId="11" xfId="0" applyNumberFormat="1" applyFont="1" applyBorder="1" applyAlignment="1">
      <alignment horizontal="center"/>
    </xf>
    <xf numFmtId="165" fontId="52" fillId="0" borderId="21" xfId="0" applyNumberFormat="1" applyFont="1" applyBorder="1" applyAlignment="1">
      <alignment horizontal="center"/>
    </xf>
    <xf numFmtId="1" fontId="52" fillId="0" borderId="18" xfId="0" applyNumberFormat="1" applyFont="1" applyBorder="1" applyAlignment="1">
      <alignment horizontal="center"/>
    </xf>
    <xf numFmtId="165" fontId="52" fillId="0" borderId="22" xfId="0" applyNumberFormat="1" applyFont="1" applyBorder="1" applyAlignment="1">
      <alignment horizontal="center"/>
    </xf>
    <xf numFmtId="1" fontId="52" fillId="0" borderId="12" xfId="0" applyNumberFormat="1" applyFont="1" applyBorder="1" applyAlignment="1">
      <alignment horizontal="center"/>
    </xf>
    <xf numFmtId="165" fontId="52" fillId="0" borderId="29" xfId="0" applyNumberFormat="1" applyFont="1" applyBorder="1" applyAlignment="1">
      <alignment horizontal="center"/>
    </xf>
    <xf numFmtId="0" fontId="59" fillId="0" borderId="0" xfId="0" applyFont="1" applyAlignment="1">
      <alignment wrapText="1"/>
    </xf>
    <xf numFmtId="0" fontId="57" fillId="33" borderId="39" xfId="0" applyFont="1" applyFill="1" applyBorder="1" applyAlignment="1" applyProtection="1">
      <alignment horizontal="left" shrinkToFit="1"/>
      <protection locked="0"/>
    </xf>
    <xf numFmtId="0" fontId="52" fillId="0" borderId="0" xfId="0" applyFont="1" applyAlignment="1">
      <alignment shrinkToFit="1"/>
    </xf>
    <xf numFmtId="0" fontId="54" fillId="0" borderId="0" xfId="0" applyFont="1" applyAlignment="1">
      <alignment/>
    </xf>
    <xf numFmtId="0" fontId="60" fillId="0" borderId="0" xfId="0" applyFont="1" applyAlignment="1">
      <alignment/>
    </xf>
    <xf numFmtId="164" fontId="52" fillId="0" borderId="12" xfId="0" applyNumberFormat="1" applyFont="1" applyFill="1" applyBorder="1" applyAlignment="1">
      <alignment horizontal="center"/>
    </xf>
    <xf numFmtId="164" fontId="52" fillId="0" borderId="11" xfId="0" applyNumberFormat="1" applyFont="1" applyFill="1" applyBorder="1" applyAlignment="1">
      <alignment horizontal="center"/>
    </xf>
    <xf numFmtId="164" fontId="52" fillId="0" borderId="18" xfId="0" applyNumberFormat="1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2" fontId="52" fillId="0" borderId="12" xfId="0" applyNumberFormat="1" applyFont="1" applyFill="1" applyBorder="1" applyAlignment="1">
      <alignment horizontal="center"/>
    </xf>
    <xf numFmtId="2" fontId="52" fillId="0" borderId="11" xfId="0" applyNumberFormat="1" applyFont="1" applyFill="1" applyBorder="1" applyAlignment="1">
      <alignment horizontal="center"/>
    </xf>
    <xf numFmtId="2" fontId="52" fillId="0" borderId="18" xfId="0" applyNumberFormat="1" applyFont="1" applyFill="1" applyBorder="1" applyAlignment="1">
      <alignment horizontal="center"/>
    </xf>
    <xf numFmtId="3" fontId="52" fillId="0" borderId="40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2" fillId="0" borderId="18" xfId="0" applyFont="1" applyFill="1" applyBorder="1" applyAlignment="1">
      <alignment horizontal="center"/>
    </xf>
    <xf numFmtId="0" fontId="52" fillId="0" borderId="16" xfId="0" applyFont="1" applyFill="1" applyBorder="1" applyAlignment="1">
      <alignment wrapText="1"/>
    </xf>
    <xf numFmtId="0" fontId="52" fillId="0" borderId="12" xfId="0" applyFont="1" applyFill="1" applyBorder="1" applyAlignment="1">
      <alignment horizontal="left"/>
    </xf>
    <xf numFmtId="0" fontId="52" fillId="0" borderId="15" xfId="0" applyFont="1" applyFill="1" applyBorder="1" applyAlignment="1">
      <alignment wrapText="1"/>
    </xf>
    <xf numFmtId="2" fontId="52" fillId="0" borderId="12" xfId="0" applyNumberFormat="1" applyFont="1" applyFill="1" applyBorder="1" applyAlignment="1" applyProtection="1">
      <alignment horizontal="center"/>
      <protection locked="0"/>
    </xf>
    <xf numFmtId="164" fontId="57" fillId="33" borderId="12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iencelab.com/msds.php?msdsId=9924035" TargetMode="External" /><Relationship Id="rId2" Type="http://schemas.openxmlformats.org/officeDocument/2006/relationships/hyperlink" Target="http://www.deltachemical.com/PDFS/DeltaAlumLiquid.pdf" TargetMode="External" /><Relationship Id="rId3" Type="http://schemas.openxmlformats.org/officeDocument/2006/relationships/hyperlink" Target="http://www.deltachemical.com/PDFS/DeltaSodiumAluminate.pdf" TargetMode="External" /><Relationship Id="rId4" Type="http://schemas.openxmlformats.org/officeDocument/2006/relationships/hyperlink" Target="http://msds.orica.com/pdf/shess-en-cds-020-000000015710.pdf" TargetMode="External" /><Relationship Id="rId5" Type="http://schemas.openxmlformats.org/officeDocument/2006/relationships/hyperlink" Target="http://www.generalchemical.com/assets/msds/GC-7002.pdf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="150" zoomScaleNormal="150" zoomScalePageLayoutView="0" workbookViewId="0" topLeftCell="A1">
      <selection activeCell="A1" sqref="A1"/>
    </sheetView>
  </sheetViews>
  <sheetFormatPr defaultColWidth="9.140625" defaultRowHeight="15"/>
  <cols>
    <col min="1" max="1" width="30.57421875" style="2" customWidth="1"/>
    <col min="2" max="2" width="18.421875" style="4" customWidth="1"/>
    <col min="3" max="3" width="14.421875" style="1" customWidth="1"/>
    <col min="4" max="4" width="19.00390625" style="1" customWidth="1"/>
    <col min="5" max="5" width="18.140625" style="1" customWidth="1"/>
    <col min="6" max="6" width="16.140625" style="1" customWidth="1"/>
    <col min="7" max="7" width="17.8515625" style="1" customWidth="1"/>
    <col min="8" max="8" width="10.140625" style="1" customWidth="1"/>
    <col min="9" max="9" width="8.57421875" style="1" customWidth="1"/>
    <col min="10" max="10" width="18.7109375" style="1" customWidth="1"/>
    <col min="11" max="16384" width="9.140625" style="1" customWidth="1"/>
  </cols>
  <sheetData>
    <row r="1" ht="20.25">
      <c r="A1" s="93" t="s">
        <v>137</v>
      </c>
    </row>
    <row r="2" ht="20.25">
      <c r="A2" s="93"/>
    </row>
    <row r="3" spans="1:2" ht="12.75">
      <c r="A3" s="94" t="s">
        <v>138</v>
      </c>
      <c r="B3" s="95"/>
    </row>
    <row r="4" ht="12.75">
      <c r="A4" s="5" t="s">
        <v>139</v>
      </c>
    </row>
    <row r="5" ht="13.5" thickBot="1"/>
    <row r="6" spans="1:11" s="2" customFormat="1" ht="56.25" customHeight="1" thickBot="1">
      <c r="A6" s="16" t="s">
        <v>0</v>
      </c>
      <c r="B6" s="17" t="s">
        <v>1</v>
      </c>
      <c r="C6" s="18" t="s">
        <v>22</v>
      </c>
      <c r="D6" s="9" t="s">
        <v>64</v>
      </c>
      <c r="E6" s="19" t="s">
        <v>2</v>
      </c>
      <c r="F6" s="19" t="s">
        <v>3</v>
      </c>
      <c r="G6" s="36" t="s">
        <v>64</v>
      </c>
      <c r="H6" s="18" t="s">
        <v>68</v>
      </c>
      <c r="I6" s="18" t="s">
        <v>21</v>
      </c>
      <c r="J6" s="44" t="s">
        <v>64</v>
      </c>
      <c r="K6" s="2" t="s">
        <v>69</v>
      </c>
    </row>
    <row r="7" spans="1:11" ht="26.25" thickTop="1">
      <c r="A7" s="120" t="s">
        <v>67</v>
      </c>
      <c r="B7" s="119" t="s">
        <v>15</v>
      </c>
      <c r="C7" s="121">
        <f>(2*MWAl)+(3*MWS)+(12*MWO)+(14*2*MWH)+(14*MWO)</f>
        <v>594.3486800000001</v>
      </c>
      <c r="D7" s="26" t="s">
        <v>46</v>
      </c>
      <c r="E7" s="40" t="s">
        <v>8</v>
      </c>
      <c r="F7" s="67">
        <f>ROUND(5.37/8.34*100,1)</f>
        <v>64.4</v>
      </c>
      <c r="G7" s="47" t="s">
        <v>76</v>
      </c>
      <c r="H7" s="56">
        <f>I7*8.34</f>
        <v>11.133899999999999</v>
      </c>
      <c r="I7" s="122">
        <v>1.335</v>
      </c>
      <c r="J7" s="57" t="s">
        <v>81</v>
      </c>
      <c r="K7" s="37" t="s">
        <v>71</v>
      </c>
    </row>
    <row r="8" spans="1:11" ht="15">
      <c r="A8" s="21" t="s">
        <v>4</v>
      </c>
      <c r="B8" s="64" t="s">
        <v>16</v>
      </c>
      <c r="C8" s="65">
        <f>(2*MWNa)+(2*MWAl)+(4*MWO)</f>
        <v>163.94022</v>
      </c>
      <c r="D8" s="27" t="s">
        <v>55</v>
      </c>
      <c r="E8" s="41" t="s">
        <v>9</v>
      </c>
      <c r="F8" s="68">
        <v>31</v>
      </c>
      <c r="G8" s="48" t="s">
        <v>80</v>
      </c>
      <c r="H8" s="51">
        <f>I8*8.34</f>
        <v>12.009599999999999</v>
      </c>
      <c r="I8" s="69">
        <v>1.44</v>
      </c>
      <c r="J8" s="52" t="s">
        <v>82</v>
      </c>
      <c r="K8" s="37" t="s">
        <v>72</v>
      </c>
    </row>
    <row r="9" spans="1:11" ht="27" customHeight="1">
      <c r="A9" s="62" t="s">
        <v>5</v>
      </c>
      <c r="B9" s="104" t="s">
        <v>148</v>
      </c>
      <c r="C9" s="66">
        <v>174.45</v>
      </c>
      <c r="D9" s="63" t="s">
        <v>56</v>
      </c>
      <c r="E9" s="42" t="s">
        <v>10</v>
      </c>
      <c r="F9" s="68">
        <v>51</v>
      </c>
      <c r="G9" s="48" t="s">
        <v>77</v>
      </c>
      <c r="H9" s="51">
        <f>I9*8.34</f>
        <v>10.008</v>
      </c>
      <c r="I9" s="69">
        <v>1.2</v>
      </c>
      <c r="J9" s="52" t="s">
        <v>83</v>
      </c>
      <c r="K9" s="37" t="s">
        <v>73</v>
      </c>
    </row>
    <row r="10" spans="1:11" ht="15">
      <c r="A10" s="118" t="s">
        <v>6</v>
      </c>
      <c r="B10" s="119" t="s">
        <v>17</v>
      </c>
      <c r="C10" s="112">
        <f>MWFe+(3*MWCl)</f>
        <v>162.20600000000002</v>
      </c>
      <c r="D10" s="27" t="s">
        <v>61</v>
      </c>
      <c r="E10" s="41" t="s">
        <v>11</v>
      </c>
      <c r="F10" s="68">
        <v>40</v>
      </c>
      <c r="G10" s="48" t="s">
        <v>78</v>
      </c>
      <c r="H10" s="51">
        <f>I10*3.785*2.2</f>
        <v>11.824340000000001</v>
      </c>
      <c r="I10" s="69">
        <v>1.42</v>
      </c>
      <c r="J10" s="52" t="s">
        <v>84</v>
      </c>
      <c r="K10" s="37" t="s">
        <v>70</v>
      </c>
    </row>
    <row r="11" spans="1:11" ht="15">
      <c r="A11" s="21" t="s">
        <v>59</v>
      </c>
      <c r="B11" s="12" t="s">
        <v>60</v>
      </c>
      <c r="C11" s="13">
        <f>(2*MWFe)+MWS+(4*MWO)</f>
        <v>207.75160000000002</v>
      </c>
      <c r="D11" s="27" t="s">
        <v>62</v>
      </c>
      <c r="E11" s="41" t="s">
        <v>63</v>
      </c>
      <c r="F11" s="68">
        <v>50</v>
      </c>
      <c r="G11" s="48" t="s">
        <v>79</v>
      </c>
      <c r="H11" s="51">
        <f>I11*8.34</f>
        <v>11.9262</v>
      </c>
      <c r="I11" s="69">
        <v>1.43</v>
      </c>
      <c r="J11" s="52" t="s">
        <v>85</v>
      </c>
      <c r="K11" s="37" t="s">
        <v>74</v>
      </c>
    </row>
    <row r="12" spans="1:10" ht="12.75">
      <c r="A12" s="21" t="s">
        <v>7</v>
      </c>
      <c r="B12" s="12" t="s">
        <v>39</v>
      </c>
      <c r="C12" s="13">
        <f>MWCa+MWO</f>
        <v>56.0794</v>
      </c>
      <c r="D12" s="27" t="s">
        <v>57</v>
      </c>
      <c r="E12" s="41" t="s">
        <v>41</v>
      </c>
      <c r="F12" s="29" t="s">
        <v>12</v>
      </c>
      <c r="G12" s="45"/>
      <c r="H12" s="51"/>
      <c r="I12" s="53"/>
      <c r="J12" s="38"/>
    </row>
    <row r="13" spans="1:10" ht="13.5" thickBot="1">
      <c r="A13" s="22" t="s">
        <v>38</v>
      </c>
      <c r="B13" s="23" t="s">
        <v>40</v>
      </c>
      <c r="C13" s="24">
        <f>MWCa+(3*MWO)+(3*MWH)</f>
        <v>91.1019</v>
      </c>
      <c r="D13" s="28" t="s">
        <v>58</v>
      </c>
      <c r="E13" s="43" t="s">
        <v>42</v>
      </c>
      <c r="F13" s="30" t="s">
        <v>12</v>
      </c>
      <c r="G13" s="46"/>
      <c r="H13" s="54"/>
      <c r="I13" s="55"/>
      <c r="J13" s="39"/>
    </row>
    <row r="14" spans="1:10" ht="12.75">
      <c r="A14" s="35" t="s">
        <v>66</v>
      </c>
      <c r="B14" s="10"/>
      <c r="C14" s="11"/>
      <c r="D14" s="31"/>
      <c r="E14" s="32"/>
      <c r="F14" s="33"/>
      <c r="G14" s="33"/>
      <c r="H14" s="33"/>
      <c r="I14" s="34"/>
      <c r="J14" s="34"/>
    </row>
    <row r="15" ht="12.75"/>
    <row r="16" ht="12.75">
      <c r="A16" s="2" t="s">
        <v>13</v>
      </c>
    </row>
    <row r="17" spans="1:3" ht="12.75">
      <c r="A17" s="3" t="s">
        <v>14</v>
      </c>
      <c r="B17" s="70">
        <v>2</v>
      </c>
      <c r="C17" s="1" t="s">
        <v>99</v>
      </c>
    </row>
    <row r="18" spans="1:3" ht="12.75">
      <c r="A18" s="3" t="s">
        <v>14</v>
      </c>
      <c r="B18" s="70">
        <v>7</v>
      </c>
      <c r="C18" s="1" t="s">
        <v>45</v>
      </c>
    </row>
    <row r="19" spans="1:4" ht="12.75">
      <c r="A19" s="3" t="s">
        <v>18</v>
      </c>
      <c r="B19" s="70">
        <v>1</v>
      </c>
      <c r="C19" s="1" t="s">
        <v>20</v>
      </c>
      <c r="D19" s="8" t="s">
        <v>117</v>
      </c>
    </row>
    <row r="20" spans="1:4" ht="12.75">
      <c r="A20" s="3" t="s">
        <v>153</v>
      </c>
      <c r="B20" s="70">
        <v>240</v>
      </c>
      <c r="C20" s="1" t="s">
        <v>154</v>
      </c>
      <c r="D20" s="8" t="s">
        <v>155</v>
      </c>
    </row>
    <row r="21" spans="1:4" ht="12.75">
      <c r="A21" s="3" t="s">
        <v>19</v>
      </c>
      <c r="B21" s="70">
        <v>5</v>
      </c>
      <c r="C21" s="1" t="s">
        <v>44</v>
      </c>
      <c r="D21" s="8" t="s">
        <v>118</v>
      </c>
    </row>
    <row r="22" spans="1:4" ht="12.75">
      <c r="A22" s="3" t="s">
        <v>43</v>
      </c>
      <c r="B22" s="70">
        <v>0.75</v>
      </c>
      <c r="C22" s="1" t="s">
        <v>44</v>
      </c>
      <c r="D22" s="8" t="s">
        <v>119</v>
      </c>
    </row>
    <row r="23" ht="12.75">
      <c r="A23" s="3"/>
    </row>
    <row r="24" spans="1:4" ht="12.75">
      <c r="A24" s="3" t="s">
        <v>30</v>
      </c>
      <c r="B24" s="7">
        <v>26.98154</v>
      </c>
      <c r="C24" s="1" t="s">
        <v>24</v>
      </c>
      <c r="D24" s="8" t="s">
        <v>36</v>
      </c>
    </row>
    <row r="25" spans="1:4" ht="12.75">
      <c r="A25" s="3" t="s">
        <v>34</v>
      </c>
      <c r="B25" s="7">
        <v>40.08</v>
      </c>
      <c r="C25" s="1" t="s">
        <v>24</v>
      </c>
      <c r="D25" s="8" t="s">
        <v>47</v>
      </c>
    </row>
    <row r="26" spans="1:4" ht="12.75">
      <c r="A26" s="3" t="s">
        <v>35</v>
      </c>
      <c r="B26" s="7">
        <v>35.453</v>
      </c>
      <c r="C26" s="1" t="s">
        <v>24</v>
      </c>
      <c r="D26" s="8" t="s">
        <v>48</v>
      </c>
    </row>
    <row r="27" spans="1:4" ht="12.75">
      <c r="A27" s="3" t="s">
        <v>29</v>
      </c>
      <c r="B27" s="7">
        <v>55.847</v>
      </c>
      <c r="C27" s="1" t="s">
        <v>24</v>
      </c>
      <c r="D27" s="8" t="s">
        <v>49</v>
      </c>
    </row>
    <row r="28" spans="1:4" ht="12.75">
      <c r="A28" s="3" t="s">
        <v>37</v>
      </c>
      <c r="B28" s="7">
        <v>1.0079</v>
      </c>
      <c r="C28" s="1" t="s">
        <v>24</v>
      </c>
      <c r="D28" s="8" t="s">
        <v>50</v>
      </c>
    </row>
    <row r="29" spans="1:4" ht="12.75">
      <c r="A29" s="3" t="s">
        <v>33</v>
      </c>
      <c r="B29" s="7">
        <v>22.98977</v>
      </c>
      <c r="C29" s="1" t="s">
        <v>24</v>
      </c>
      <c r="D29" s="8" t="s">
        <v>51</v>
      </c>
    </row>
    <row r="30" spans="1:4" ht="12.75">
      <c r="A30" s="3" t="s">
        <v>32</v>
      </c>
      <c r="B30" s="7">
        <v>15.9994</v>
      </c>
      <c r="C30" s="1" t="s">
        <v>24</v>
      </c>
      <c r="D30" s="8" t="s">
        <v>52</v>
      </c>
    </row>
    <row r="31" spans="1:4" ht="12.75">
      <c r="A31" s="3" t="s">
        <v>23</v>
      </c>
      <c r="B31" s="7">
        <v>30.97376</v>
      </c>
      <c r="C31" s="1" t="s">
        <v>24</v>
      </c>
      <c r="D31" s="8" t="s">
        <v>53</v>
      </c>
    </row>
    <row r="32" spans="1:4" ht="12.75">
      <c r="A32" s="3" t="s">
        <v>31</v>
      </c>
      <c r="B32" s="7">
        <v>32.06</v>
      </c>
      <c r="C32" s="1" t="s">
        <v>24</v>
      </c>
      <c r="D32" s="8" t="s">
        <v>54</v>
      </c>
    </row>
    <row r="33" spans="1:2" ht="12.75">
      <c r="A33" s="1"/>
      <c r="B33" s="6"/>
    </row>
    <row r="34" ht="12.75">
      <c r="A34" s="5" t="s">
        <v>65</v>
      </c>
    </row>
    <row r="36" ht="12.75">
      <c r="A36" s="5" t="s">
        <v>25</v>
      </c>
    </row>
    <row r="37" ht="13.5" thickBot="1">
      <c r="A37" s="5"/>
    </row>
    <row r="38" spans="1:4" ht="30.75" customHeight="1" thickBot="1">
      <c r="A38" s="16" t="s">
        <v>0</v>
      </c>
      <c r="B38" s="18" t="s">
        <v>156</v>
      </c>
      <c r="C38" s="84" t="s">
        <v>121</v>
      </c>
      <c r="D38" s="72" t="s">
        <v>64</v>
      </c>
    </row>
    <row r="39" spans="1:6" ht="13.5" thickTop="1">
      <c r="A39" s="73" t="s">
        <v>75</v>
      </c>
      <c r="B39" s="108">
        <f>PercentAlum*percent_to_mgperliter*DenseAlum/mg_to_grams/g_to_kg</f>
        <v>0.8597400000000001</v>
      </c>
      <c r="C39" s="15" t="s">
        <v>158</v>
      </c>
      <c r="D39" s="74" t="s">
        <v>86</v>
      </c>
      <c r="F39" s="1" t="s">
        <v>150</v>
      </c>
    </row>
    <row r="40" spans="1:7" ht="12.75">
      <c r="A40" s="75" t="str">
        <f>A8</f>
        <v>Sodium Aluminate</v>
      </c>
      <c r="B40" s="109">
        <f>PercentNaAluminate*percent_to_mgperliter*DenseNaAluminate/mg_to_grams/g_to_kg</f>
        <v>0.44639999999999996</v>
      </c>
      <c r="C40" s="14" t="s">
        <v>158</v>
      </c>
      <c r="D40" s="76" t="s">
        <v>87</v>
      </c>
      <c r="F40" s="60">
        <v>10000</v>
      </c>
      <c r="G40" s="105" t="s">
        <v>151</v>
      </c>
    </row>
    <row r="41" spans="1:7" ht="12.75">
      <c r="A41" s="75" t="str">
        <f>A9</f>
        <v>Polyaluminum chloride (PAC)</v>
      </c>
      <c r="B41" s="109">
        <f>PercentPAC*percent_to_mgperliter*DensePAC/mg_to_grams/g_to_kg</f>
        <v>0.612</v>
      </c>
      <c r="C41" s="14" t="s">
        <v>158</v>
      </c>
      <c r="D41" s="76" t="s">
        <v>88</v>
      </c>
      <c r="F41" s="60">
        <v>1000</v>
      </c>
      <c r="G41" s="1" t="s">
        <v>152</v>
      </c>
    </row>
    <row r="42" spans="1:7" ht="12.75">
      <c r="A42" s="75" t="str">
        <f>A10</f>
        <v>Ferric chloride</v>
      </c>
      <c r="B42" s="109">
        <f>PercentFeCl2*percent_to_mgperliter*DenseFeCl2/mg_to_grams/g_to_kg</f>
        <v>0.568</v>
      </c>
      <c r="C42" s="14" t="s">
        <v>158</v>
      </c>
      <c r="D42" s="76" t="s">
        <v>89</v>
      </c>
      <c r="F42" s="60">
        <v>1000</v>
      </c>
      <c r="G42" s="1" t="s">
        <v>157</v>
      </c>
    </row>
    <row r="43" spans="1:6" ht="15.75" thickBot="1">
      <c r="A43" s="77" t="str">
        <f>A11</f>
        <v>Ferric sulfate</v>
      </c>
      <c r="B43" s="78">
        <f>PercentFeSO4*percent_to_mgperliter*DenseFeSO4/mg_to_grams/g_to_kg</f>
        <v>0.715</v>
      </c>
      <c r="C43" s="25" t="s">
        <v>158</v>
      </c>
      <c r="D43" s="79" t="s">
        <v>90</v>
      </c>
      <c r="F43" t="s">
        <v>149</v>
      </c>
    </row>
    <row r="45" ht="12.75">
      <c r="A45" s="5" t="s">
        <v>96</v>
      </c>
    </row>
    <row r="46" ht="13.5" thickBot="1">
      <c r="A46" s="5"/>
    </row>
    <row r="47" spans="1:7" s="2" customFormat="1" ht="38.25">
      <c r="A47" s="80" t="s">
        <v>0</v>
      </c>
      <c r="B47" s="49" t="s">
        <v>135</v>
      </c>
      <c r="C47" s="49" t="s">
        <v>26</v>
      </c>
      <c r="D47" s="49" t="s">
        <v>27</v>
      </c>
      <c r="E47" s="49" t="s">
        <v>64</v>
      </c>
      <c r="F47" s="49" t="s">
        <v>28</v>
      </c>
      <c r="G47" s="50" t="s">
        <v>64</v>
      </c>
    </row>
    <row r="48" spans="1:7" ht="12.75">
      <c r="A48" s="75" t="str">
        <f>A39</f>
        <v>Liquid Alum</v>
      </c>
      <c r="B48" s="13">
        <f>MWAl</f>
        <v>26.98154</v>
      </c>
      <c r="C48" s="13">
        <f>MWAlum</f>
        <v>594.3486800000001</v>
      </c>
      <c r="D48" s="71">
        <f>2*B48/C48</f>
        <v>0.09079363985463886</v>
      </c>
      <c r="E48" s="27" t="s">
        <v>91</v>
      </c>
      <c r="F48" s="109">
        <f>WeightAlum*AtoPAlum</f>
        <v>0.07805892392862722</v>
      </c>
      <c r="G48" s="81" t="s">
        <v>109</v>
      </c>
    </row>
    <row r="49" spans="1:7" ht="12.75">
      <c r="A49" s="75" t="str">
        <f>A40</f>
        <v>Sodium Aluminate</v>
      </c>
      <c r="B49" s="13">
        <f>MWAl</f>
        <v>26.98154</v>
      </c>
      <c r="C49" s="13">
        <f>MWSodiumAluminate</f>
        <v>163.94022</v>
      </c>
      <c r="D49" s="71">
        <f>2*B49/C49</f>
        <v>0.329163154715786</v>
      </c>
      <c r="E49" s="27" t="s">
        <v>92</v>
      </c>
      <c r="F49" s="109">
        <f>WeightNaAluminate*AtoPNaAluminate</f>
        <v>0.14693843226512684</v>
      </c>
      <c r="G49" s="81" t="s">
        <v>110</v>
      </c>
    </row>
    <row r="50" spans="1:7" ht="12.75">
      <c r="A50" s="75" t="str">
        <f>A41</f>
        <v>Polyaluminum chloride (PAC)</v>
      </c>
      <c r="B50" s="13">
        <f>MWAl</f>
        <v>26.98154</v>
      </c>
      <c r="C50" s="13">
        <f>MWPAC</f>
        <v>174.45</v>
      </c>
      <c r="D50" s="71">
        <f>2*B50/C50</f>
        <v>0.30933264545715106</v>
      </c>
      <c r="E50" s="27" t="s">
        <v>93</v>
      </c>
      <c r="F50" s="109">
        <f>WeightPAC*AtoPPAC</f>
        <v>0.18931157901977644</v>
      </c>
      <c r="G50" s="81" t="s">
        <v>111</v>
      </c>
    </row>
    <row r="51" spans="1:7" ht="12.75">
      <c r="A51" s="75" t="str">
        <f>A42</f>
        <v>Ferric chloride</v>
      </c>
      <c r="B51" s="13">
        <f>MWFe</f>
        <v>55.847</v>
      </c>
      <c r="C51" s="13">
        <f>MWFerricCl</f>
        <v>162.20600000000002</v>
      </c>
      <c r="D51" s="71">
        <f>B51/C51</f>
        <v>0.34429675844296753</v>
      </c>
      <c r="E51" s="27" t="s">
        <v>94</v>
      </c>
      <c r="F51" s="109">
        <f>WeightFeCl2*FetoFeCl2</f>
        <v>0.19556055879560555</v>
      </c>
      <c r="G51" s="81" t="s">
        <v>112</v>
      </c>
    </row>
    <row r="52" spans="1:7" ht="13.5" thickBot="1">
      <c r="A52" s="77" t="str">
        <f>A43</f>
        <v>Ferric sulfate</v>
      </c>
      <c r="B52" s="24">
        <f>MWFe</f>
        <v>55.847</v>
      </c>
      <c r="C52" s="24">
        <f>MWFerricSO4</f>
        <v>207.75160000000002</v>
      </c>
      <c r="D52" s="78">
        <f>2*B52/C52</f>
        <v>0.5376324418199426</v>
      </c>
      <c r="E52" s="28" t="s">
        <v>95</v>
      </c>
      <c r="F52" s="110">
        <f>WeightFeSO4*FetoFeSO4</f>
        <v>0.384407195901259</v>
      </c>
      <c r="G52" s="82" t="s">
        <v>113</v>
      </c>
    </row>
    <row r="54" ht="12.75">
      <c r="A54" s="5" t="s">
        <v>97</v>
      </c>
    </row>
    <row r="56" spans="1:3" ht="12.75">
      <c r="A56" s="2" t="s">
        <v>98</v>
      </c>
      <c r="B56" s="68">
        <v>1</v>
      </c>
      <c r="C56" s="1" t="s">
        <v>104</v>
      </c>
    </row>
    <row r="57" ht="12.75">
      <c r="A57" s="58" t="s">
        <v>107</v>
      </c>
    </row>
    <row r="58" ht="12.75">
      <c r="A58" s="58" t="s">
        <v>105</v>
      </c>
    </row>
    <row r="59" ht="12.75">
      <c r="A59" s="58" t="s">
        <v>106</v>
      </c>
    </row>
    <row r="60" ht="12.75">
      <c r="A60" s="59" t="str">
        <f>IF(AND(Peff&lt;=0.7,B56&lt;6),"WARNING:  Me to P ratio is too low!  For P less than 1.0 mg/L, Me:P ratio may need to be increased."," ")</f>
        <v> </v>
      </c>
    </row>
    <row r="61" ht="13.5" thickBot="1">
      <c r="A61" s="59"/>
    </row>
    <row r="62" spans="1:4" ht="13.5" thickBot="1">
      <c r="A62" s="16" t="s">
        <v>136</v>
      </c>
      <c r="B62" s="84" t="s">
        <v>120</v>
      </c>
      <c r="C62" s="84" t="s">
        <v>121</v>
      </c>
      <c r="D62" s="85" t="s">
        <v>64</v>
      </c>
    </row>
    <row r="63" spans="1:4" ht="13.5" thickTop="1">
      <c r="A63" s="20" t="s">
        <v>100</v>
      </c>
      <c r="B63" s="111">
        <f>ROUND(Me_to_P_Ratio*(MWFe/MWP),2)</f>
        <v>1.8</v>
      </c>
      <c r="C63" s="15" t="s">
        <v>103</v>
      </c>
      <c r="D63" s="83" t="s">
        <v>115</v>
      </c>
    </row>
    <row r="64" spans="1:4" ht="13.5" thickBot="1">
      <c r="A64" s="22" t="s">
        <v>101</v>
      </c>
      <c r="B64" s="25">
        <f>ROUND(Me_to_P_Ratio*MWAl/MWP,2)</f>
        <v>0.87</v>
      </c>
      <c r="C64" s="25" t="s">
        <v>102</v>
      </c>
      <c r="D64" s="82" t="s">
        <v>116</v>
      </c>
    </row>
    <row r="66" ht="12.75">
      <c r="A66" s="5" t="s">
        <v>108</v>
      </c>
    </row>
    <row r="67" ht="13.5" thickBot="1"/>
    <row r="68" spans="1:3" ht="13.5" thickBot="1">
      <c r="A68" s="86" t="s">
        <v>0</v>
      </c>
      <c r="B68" s="87" t="s">
        <v>114</v>
      </c>
      <c r="C68" s="88" t="s">
        <v>64</v>
      </c>
    </row>
    <row r="69" spans="1:3" ht="12.75">
      <c r="A69" s="73" t="str">
        <f>A48</f>
        <v>Liquid Alum</v>
      </c>
      <c r="B69" s="112">
        <f>AlRatio/MeLAlum</f>
        <v>11.14542650876766</v>
      </c>
      <c r="C69" s="83" t="s">
        <v>122</v>
      </c>
    </row>
    <row r="70" spans="1:3" ht="12.75">
      <c r="A70" s="75" t="str">
        <f>A49</f>
        <v>Sodium Aluminate</v>
      </c>
      <c r="B70" s="113">
        <f>AlRatio/MeLNaAluminate</f>
        <v>5.920847164275065</v>
      </c>
      <c r="C70" s="89" t="s">
        <v>123</v>
      </c>
    </row>
    <row r="71" spans="1:3" ht="12.75">
      <c r="A71" s="75" t="str">
        <f>A50</f>
        <v>Polyaluminum chloride (PAC)</v>
      </c>
      <c r="B71" s="113">
        <f>AlRatio/MeLPAC</f>
        <v>4.595598454699464</v>
      </c>
      <c r="C71" s="81" t="s">
        <v>124</v>
      </c>
    </row>
    <row r="72" spans="1:3" ht="12.75">
      <c r="A72" s="75" t="str">
        <f>A51</f>
        <v>Ferric chloride</v>
      </c>
      <c r="B72" s="113">
        <f>FeRatio/MeLFeCl2</f>
        <v>9.204309964573735</v>
      </c>
      <c r="C72" s="81" t="s">
        <v>125</v>
      </c>
    </row>
    <row r="73" spans="1:3" ht="13.5" thickBot="1">
      <c r="A73" s="77" t="str">
        <f>A52</f>
        <v>Ferric sulfate</v>
      </c>
      <c r="B73" s="114">
        <f>FeRatio/MeLFeSO4</f>
        <v>4.682534612235402</v>
      </c>
      <c r="C73" s="82" t="s">
        <v>126</v>
      </c>
    </row>
    <row r="75" ht="12.75">
      <c r="A75" s="5" t="s">
        <v>127</v>
      </c>
    </row>
    <row r="76" ht="13.5" thickBot="1"/>
    <row r="77" spans="1:4" ht="13.5" thickBot="1">
      <c r="A77" s="5" t="s">
        <v>128</v>
      </c>
      <c r="C77" s="115">
        <f>Qinf*1000000*3.785</f>
        <v>3785000</v>
      </c>
      <c r="D77" s="8" t="s">
        <v>129</v>
      </c>
    </row>
    <row r="79" ht="12.75">
      <c r="A79" s="5" t="s">
        <v>130</v>
      </c>
    </row>
    <row r="80" spans="1:3" ht="12.75">
      <c r="A80" s="61" t="s">
        <v>133</v>
      </c>
      <c r="B80" s="96">
        <v>30</v>
      </c>
      <c r="C80" s="1" t="s">
        <v>134</v>
      </c>
    </row>
    <row r="81" ht="13.5" thickBot="1"/>
    <row r="82" spans="1:5" ht="13.5" thickBot="1">
      <c r="A82" s="16" t="s">
        <v>0</v>
      </c>
      <c r="B82" s="84" t="s">
        <v>131</v>
      </c>
      <c r="C82" s="84" t="s">
        <v>132</v>
      </c>
      <c r="D82" s="84" t="s">
        <v>146</v>
      </c>
      <c r="E82" s="72" t="str">
        <f>CONCATENATE("Gallons per ",B80," days")</f>
        <v>Gallons per 30 days</v>
      </c>
    </row>
    <row r="83" spans="1:5" ht="13.5" thickTop="1">
      <c r="A83" s="73" t="str">
        <f>A69</f>
        <v>Liquid Alum</v>
      </c>
      <c r="B83" s="111">
        <f>ROUND(QinfMetric*Pini*LpKgAlum/1000000,1)</f>
        <v>210.9</v>
      </c>
      <c r="C83" s="111">
        <f>ROUND(B83/3.785,1)</f>
        <v>55.7</v>
      </c>
      <c r="D83" s="15">
        <f>ROUND(C83/1440,2)</f>
        <v>0.04</v>
      </c>
      <c r="E83" s="92">
        <f>ROUND(C83*$B$80,0)</f>
        <v>1671</v>
      </c>
    </row>
    <row r="84" spans="1:5" ht="12.75">
      <c r="A84" s="75" t="str">
        <f>A70</f>
        <v>Sodium Aluminate</v>
      </c>
      <c r="B84" s="116">
        <f>ROUND(QinfMetric*Pini*LpKgNaAluminate/1000000,1)</f>
        <v>112.1</v>
      </c>
      <c r="C84" s="116">
        <f>ROUND(B84/3.785,1)</f>
        <v>29.6</v>
      </c>
      <c r="D84" s="14">
        <f>ROUND(C84/1440,2)</f>
        <v>0.02</v>
      </c>
      <c r="E84" s="90">
        <f>ROUND(C84*$B$80,0)</f>
        <v>888</v>
      </c>
    </row>
    <row r="85" spans="1:5" ht="12.75">
      <c r="A85" s="75" t="str">
        <f>A71</f>
        <v>Polyaluminum chloride (PAC)</v>
      </c>
      <c r="B85" s="116">
        <f>ROUND(QinfMetric*Pini*LpKgPAC/1000000,1)</f>
        <v>87</v>
      </c>
      <c r="C85" s="116">
        <f>ROUND(B85/3.785,1)</f>
        <v>23</v>
      </c>
      <c r="D85" s="14">
        <f>ROUND(C85/1440,2)</f>
        <v>0.02</v>
      </c>
      <c r="E85" s="90">
        <f>ROUND(C85*$B$80,0)</f>
        <v>690</v>
      </c>
    </row>
    <row r="86" spans="1:5" ht="12.75">
      <c r="A86" s="75" t="str">
        <f>A72</f>
        <v>Ferric chloride</v>
      </c>
      <c r="B86" s="116">
        <f>ROUND(QinfMetric*Pini*LpKgFeCl2/1000000,1)</f>
        <v>174.2</v>
      </c>
      <c r="C86" s="116">
        <f>ROUND(B86/3.785,1)</f>
        <v>46</v>
      </c>
      <c r="D86" s="14">
        <f>ROUND(C86/1440,2)</f>
        <v>0.03</v>
      </c>
      <c r="E86" s="90">
        <f>ROUND(C86*$B$80,0)</f>
        <v>1380</v>
      </c>
    </row>
    <row r="87" spans="1:5" ht="13.5" thickBot="1">
      <c r="A87" s="77" t="str">
        <f>A73</f>
        <v>Ferric sulfate</v>
      </c>
      <c r="B87" s="117">
        <f>ROUND(QinfMetric*Pini*LpKgFeSO4/1000000,1)</f>
        <v>88.6</v>
      </c>
      <c r="C87" s="117">
        <f>ROUND(B87/3.785,1)</f>
        <v>23.4</v>
      </c>
      <c r="D87" s="25">
        <f>ROUND(C87/1440,2)</f>
        <v>0.02</v>
      </c>
      <c r="E87" s="91">
        <f>ROUND(C87*$B$80,0)</f>
        <v>702</v>
      </c>
    </row>
    <row r="89" ht="12.75">
      <c r="A89" s="5" t="s">
        <v>140</v>
      </c>
    </row>
    <row r="91" ht="12.75">
      <c r="A91" s="2" t="s">
        <v>141</v>
      </c>
    </row>
    <row r="92" spans="1:3" ht="12.75">
      <c r="A92" s="2" t="s">
        <v>142</v>
      </c>
      <c r="B92" s="68">
        <v>15</v>
      </c>
      <c r="C92" s="1" t="s">
        <v>143</v>
      </c>
    </row>
    <row r="93" ht="13.5" thickBot="1"/>
    <row r="94" spans="1:3" ht="13.5" thickBot="1">
      <c r="A94" s="16" t="s">
        <v>0</v>
      </c>
      <c r="B94" s="84" t="s">
        <v>144</v>
      </c>
      <c r="C94" s="72" t="s">
        <v>145</v>
      </c>
    </row>
    <row r="95" spans="1:3" ht="13.5" thickTop="1">
      <c r="A95" s="73" t="str">
        <f>A83</f>
        <v>Liquid Alum</v>
      </c>
      <c r="B95" s="101">
        <f>E83/7.48</f>
        <v>223.39572192513367</v>
      </c>
      <c r="C95" s="102">
        <f>SQRT(B95/$B$92/0.785)</f>
        <v>4.355690052366343</v>
      </c>
    </row>
    <row r="96" spans="1:3" ht="12.75">
      <c r="A96" s="75" t="str">
        <f>A84</f>
        <v>Sodium Aluminate</v>
      </c>
      <c r="B96" s="97">
        <f>E84/7.48</f>
        <v>118.71657754010694</v>
      </c>
      <c r="C96" s="98">
        <f>SQRT(B96/$B$92/0.785)</f>
        <v>3.175230269532055</v>
      </c>
    </row>
    <row r="97" spans="1:3" ht="12.75">
      <c r="A97" s="75" t="str">
        <f>A85</f>
        <v>Polyaluminum chloride (PAC)</v>
      </c>
      <c r="B97" s="97">
        <f>E85/7.48</f>
        <v>92.24598930481282</v>
      </c>
      <c r="C97" s="98">
        <f>SQRT(B97/$B$92/0.785)</f>
        <v>2.7989380653030467</v>
      </c>
    </row>
    <row r="98" spans="1:3" ht="12.75">
      <c r="A98" s="75" t="str">
        <f>A86</f>
        <v>Ferric chloride</v>
      </c>
      <c r="B98" s="97">
        <f>E86/7.48</f>
        <v>184.49197860962565</v>
      </c>
      <c r="C98" s="98">
        <f>SQRT(B98/$B$92/0.785)</f>
        <v>3.9582961721938803</v>
      </c>
    </row>
    <row r="99" spans="1:3" ht="13.5" thickBot="1">
      <c r="A99" s="77" t="str">
        <f>A87</f>
        <v>Ferric sulfate</v>
      </c>
      <c r="B99" s="99">
        <f>E87/7.48</f>
        <v>93.85026737967914</v>
      </c>
      <c r="C99" s="100">
        <f>SQRT(B99/$B$92/0.785)</f>
        <v>2.8231717475024993</v>
      </c>
    </row>
    <row r="101" ht="12.75">
      <c r="A101" s="103" t="s">
        <v>147</v>
      </c>
    </row>
    <row r="102" ht="12.75">
      <c r="A102" s="106" t="s">
        <v>159</v>
      </c>
    </row>
    <row r="103" ht="12.75">
      <c r="A103" s="106" t="s">
        <v>160</v>
      </c>
    </row>
    <row r="104" ht="12.75">
      <c r="A104" s="107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</sheetData>
  <sheetProtection password="DDF7" sheet="1" objects="1" scenarios="1" formatCells="0" formatColumns="0" formatRows="0"/>
  <hyperlinks>
    <hyperlink ref="K10" r:id="rId1" display="http://www.sciencelab.com/msds.php?msdsId=9924035"/>
    <hyperlink ref="K7" r:id="rId2" display="http://www.deltachemical.com/PDFS/DeltaAlumLiquid.pdf"/>
    <hyperlink ref="K8" r:id="rId3" display="http://www.deltachemical.com/PDFS/DeltaSodiumAluminate.pdf"/>
    <hyperlink ref="K9" r:id="rId4" display="http://msds.orica.com/pdf/shess-en-cds-020-000000015710.pdf"/>
    <hyperlink ref="K11" r:id="rId5" display="http://www.generalchemical.com/assets/msds/GC-7002.pdf"/>
  </hyperlinks>
  <printOptions/>
  <pageMargins left="0.7" right="0.7" top="0.75" bottom="0.75" header="0.3" footer="0.3"/>
  <pageSetup horizontalDpi="600" verticalDpi="600" orientation="landscape" paperSize="17" r:id="rId8"/>
  <rowBreaks count="2" manualBreakCount="2">
    <brk id="44" max="9" man="1"/>
    <brk id="88" max="9" man="1"/>
  </rowBreaks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Sidney</dc:creator>
  <cp:keywords/>
  <dc:description/>
  <cp:lastModifiedBy>Sidney</cp:lastModifiedBy>
  <cp:lastPrinted>2013-04-11T04:15:51Z</cp:lastPrinted>
  <dcterms:created xsi:type="dcterms:W3CDTF">2013-04-05T20:06:05Z</dcterms:created>
  <dcterms:modified xsi:type="dcterms:W3CDTF">2016-09-18T21:02:44Z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